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60" windowWidth="19100" windowHeight="6800"/>
  </bookViews>
  <sheets>
    <sheet name="теплова енергія з прибутком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44" i="1"/>
  <c r="B41"/>
  <c r="J39"/>
  <c r="L38"/>
  <c r="L42" s="1"/>
  <c r="G38"/>
  <c r="G42" s="1"/>
  <c r="J37"/>
  <c r="G37"/>
  <c r="G41" s="1"/>
  <c r="L34"/>
  <c r="K34"/>
  <c r="K38" s="1"/>
  <c r="K42" s="1"/>
  <c r="H34"/>
  <c r="H38" s="1"/>
  <c r="H42" s="1"/>
  <c r="Q32"/>
  <c r="Q31"/>
  <c r="G28"/>
  <c r="G29" s="1"/>
  <c r="G27"/>
  <c r="L26"/>
  <c r="K26"/>
  <c r="H26"/>
  <c r="N26" s="1"/>
  <c r="G24"/>
  <c r="G25" s="1"/>
  <c r="L21"/>
  <c r="K21"/>
  <c r="H21"/>
  <c r="G21"/>
  <c r="L20"/>
  <c r="K20"/>
  <c r="H20"/>
  <c r="G20"/>
  <c r="M16"/>
  <c r="G33" l="1"/>
  <c r="G49"/>
  <c r="H29"/>
  <c r="H33" s="1"/>
  <c r="K29"/>
  <c r="L29"/>
  <c r="O35"/>
  <c r="G35"/>
  <c r="G39" s="1"/>
  <c r="H25"/>
  <c r="K25"/>
  <c r="L25"/>
  <c r="L37" s="1"/>
  <c r="L24"/>
  <c r="L27"/>
  <c r="L28"/>
  <c r="K24"/>
  <c r="K27"/>
  <c r="K28"/>
  <c r="H24"/>
  <c r="H27"/>
  <c r="H49" s="1"/>
  <c r="H28"/>
  <c r="L49" l="1"/>
  <c r="M32"/>
  <c r="K37"/>
  <c r="H37"/>
  <c r="K41"/>
  <c r="L41"/>
  <c r="H41"/>
  <c r="O36"/>
  <c r="O37" s="1"/>
  <c r="N33"/>
  <c r="P35"/>
  <c r="H35"/>
  <c r="H39" s="1"/>
  <c r="K49"/>
  <c r="L33"/>
  <c r="G32"/>
  <c r="K33"/>
  <c r="G36"/>
  <c r="G40" s="1"/>
  <c r="G43"/>
  <c r="H43" l="1"/>
  <c r="H32"/>
  <c r="N32" s="1"/>
  <c r="H36"/>
  <c r="H40" s="1"/>
  <c r="Q35"/>
  <c r="K35"/>
  <c r="R35"/>
  <c r="L35"/>
  <c r="P36"/>
  <c r="P37" s="1"/>
  <c r="N41"/>
  <c r="R37" l="1"/>
  <c r="R36"/>
  <c r="Q36"/>
  <c r="Q37" s="1"/>
  <c r="L43"/>
  <c r="L39"/>
  <c r="L36" s="1"/>
  <c r="L40" s="1"/>
  <c r="K43"/>
  <c r="N43" s="1"/>
  <c r="K39"/>
  <c r="K32"/>
  <c r="L32"/>
  <c r="K36" l="1"/>
  <c r="K40" s="1"/>
  <c r="N40" s="1"/>
  <c r="N39"/>
</calcChain>
</file>

<file path=xl/sharedStrings.xml><?xml version="1.0" encoding="utf-8"?>
<sst xmlns="http://schemas.openxmlformats.org/spreadsheetml/2006/main" count="122" uniqueCount="86">
  <si>
    <t>Додаток 3.5</t>
  </si>
  <si>
    <t>,</t>
  </si>
  <si>
    <t>До рішення виконавчого комітету</t>
  </si>
  <si>
    <t>Боярської міської ради</t>
  </si>
  <si>
    <t>від "__"___________2025 №___</t>
  </si>
  <si>
    <t>РОЗРАХУНОК</t>
  </si>
  <si>
    <t>тарифів на теплову енергію</t>
  </si>
  <si>
    <t xml:space="preserve">                                                              по КП "БГВУЖКГ" на опалювальний період 2024-2025 р.р.</t>
  </si>
  <si>
    <t>січень 2025</t>
  </si>
  <si>
    <t>(без податку на додану вартість)</t>
  </si>
  <si>
    <t>№ з/п</t>
  </si>
  <si>
    <t>Найменування показника</t>
  </si>
  <si>
    <t>Одиниці виміру</t>
  </si>
  <si>
    <t>Сумарні та середньозважені показники</t>
  </si>
  <si>
    <t>На потреби споживачів</t>
  </si>
  <si>
    <t>населення</t>
  </si>
  <si>
    <t>релігійних організацій</t>
  </si>
  <si>
    <t>бюджетних установ</t>
  </si>
  <si>
    <t>інших споживачів</t>
  </si>
  <si>
    <t>Тариф на виробництво теплової енергії, зокрема:</t>
  </si>
  <si>
    <t>грн/Гкал</t>
  </si>
  <si>
    <t>1.1</t>
  </si>
  <si>
    <t>повна планована собівартість виробництва теплової енергії</t>
  </si>
  <si>
    <t>1.2.</t>
  </si>
  <si>
    <t>витрати на відшкодування втрат</t>
  </si>
  <si>
    <t>тис. грн</t>
  </si>
  <si>
    <t>1.3.</t>
  </si>
  <si>
    <t>планований прибуток</t>
  </si>
  <si>
    <t>2.</t>
  </si>
  <si>
    <t>Тариф на транспортування теплової енергії, зокрема:</t>
  </si>
  <si>
    <t>2.1.</t>
  </si>
  <si>
    <t>повна планована собівартість транспортування теплової енергії</t>
  </si>
  <si>
    <t>2.2.</t>
  </si>
  <si>
    <t>витрати на відшкодування втрат теплової енергії в теплових мережах (у тому числі понаднормових втрат) в грошовому виразі</t>
  </si>
  <si>
    <t>2.3.</t>
  </si>
  <si>
    <t>Тариф на постачання теплової енергії, зокрема:</t>
  </si>
  <si>
    <t>3.1.</t>
  </si>
  <si>
    <t>повна планована собівартість постачання теплової енергії</t>
  </si>
  <si>
    <t>3.2.</t>
  </si>
  <si>
    <t>3.3.</t>
  </si>
  <si>
    <t>Тариф на теплову енергію, зокрема:</t>
  </si>
  <si>
    <t>4.1.</t>
  </si>
  <si>
    <t>повна планована собівартість теплової енергії</t>
  </si>
  <si>
    <t>4.2.</t>
  </si>
  <si>
    <t>всього</t>
  </si>
  <si>
    <t>бюджет</t>
  </si>
  <si>
    <t>інші</t>
  </si>
  <si>
    <t>4.3.</t>
  </si>
  <si>
    <t>планований прибуток*</t>
  </si>
  <si>
    <t xml:space="preserve"> прибуток 4%</t>
  </si>
  <si>
    <t>Річні плановані доходи від виробництва, транспортування, постачання теплової енергії, усього, зокрема:</t>
  </si>
  <si>
    <t>под. на приб.18%</t>
  </si>
  <si>
    <t>5.1.</t>
  </si>
  <si>
    <t>повна планована собівартість виробництва, транспортування, постачання теплової енергії</t>
  </si>
  <si>
    <t>разом приб.</t>
  </si>
  <si>
    <t>5.2.</t>
  </si>
  <si>
    <t>5.3.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</si>
  <si>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</si>
  <si>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</si>
  <si>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6.1.</t>
  </si>
  <si>
    <t>6.2.</t>
  </si>
  <si>
    <t>6.3.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</si>
  <si>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</si>
  <si>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Гкал</t>
  </si>
  <si>
    <t>7.1.</t>
  </si>
  <si>
    <t>корисний відпуск теплової енергії власним споживачам</t>
  </si>
  <si>
    <t>7.2.</t>
  </si>
  <si>
    <t>корисний відпуск теплової енергії інших власників</t>
  </si>
  <si>
    <t>Рівні рентабельності тарифів:</t>
  </si>
  <si>
    <t>8.1.</t>
  </si>
  <si>
    <t>на виробництво теплової енергії</t>
  </si>
  <si>
    <t>%</t>
  </si>
  <si>
    <t>8.2.</t>
  </si>
  <si>
    <t>на транспортування теплової енергії</t>
  </si>
  <si>
    <t>8.3</t>
  </si>
  <si>
    <t>на постачання теплової енергії</t>
  </si>
  <si>
    <t>8.4</t>
  </si>
  <si>
    <t>на теплову енергію</t>
  </si>
  <si>
    <t>* Прибуток 4% на обігові кошти та податок на прибуток</t>
  </si>
  <si>
    <t>Начальник  КП  "БГВУЖКГ"</t>
  </si>
  <si>
    <t>__________</t>
  </si>
  <si>
    <t>В.А.Камінський</t>
  </si>
  <si>
    <t>(керівник)</t>
  </si>
  <si>
    <t>(підпис)</t>
  </si>
  <si>
    <t>(ініціали, прізвище)</t>
  </si>
  <si>
    <t>Виконавець:Козакевич Г.І. тел. 41-170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</si>
</sst>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10" fontId="0" fillId="0" borderId="0" xfId="0" applyNumberFormat="1"/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2" fontId="5" fillId="0" borderId="11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2" fontId="3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2" fontId="3" fillId="0" borderId="11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0" fillId="0" borderId="0" xfId="0" applyNumberFormat="1"/>
    <xf numFmtId="0" fontId="3" fillId="0" borderId="10" xfId="0" applyFont="1" applyBorder="1" applyAlignment="1">
      <alignment vertical="top" wrapText="1"/>
    </xf>
    <xf numFmtId="49" fontId="2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2" fontId="3" fillId="0" borderId="17" xfId="0" applyNumberFormat="1" applyFont="1" applyBorder="1" applyAlignment="1">
      <alignment horizontal="center" vertical="top"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2" fillId="0" borderId="2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17" xfId="0" applyNumberFormat="1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top" wrapText="1"/>
    </xf>
    <xf numFmtId="49" fontId="2" fillId="0" borderId="2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vertical="top" wrapText="1"/>
    </xf>
    <xf numFmtId="2" fontId="3" fillId="0" borderId="9" xfId="0" applyNumberFormat="1" applyFont="1" applyBorder="1" applyAlignment="1">
      <alignment horizontal="center" vertical="top" wrapText="1"/>
    </xf>
    <xf numFmtId="2" fontId="5" fillId="0" borderId="8" xfId="0" applyNumberFormat="1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rta/Downloads/&#1055;&#1083;&#1072;&#1085;&#1086;&#1074;&#1080;&#1081;%20&#1090;&#1072;&#1088;&#1080;&#1092;%20&#1085;&#1072;%20&#1090;&#1077;&#1087;&#1083;&#1086;%202024-2025&#1088;&#1086;&#1079;&#1088;&#1072;&#1093;&#1091;&#1085;&#1082;&#1080;%20&#1090;&#1088;&#1072;&#1074;&#1077;&#1085;&#1100;%202024%20&#1110;&#1079;%20&#1047;&#1072;&#1073;&#1110;&#1088;&#1103;&#1084;%20&#8211;%20(&#1089;&#1110;&#1095;&#1077;&#1085;&#1100;%20202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"/>
      <sheetName val="Лист1"/>
      <sheetName val="2"/>
      <sheetName val="розрах вартості палива"/>
      <sheetName val="розр.екон. ефе по інвест прогр."/>
      <sheetName val="Середня ціна електроенергії"/>
      <sheetName val="розрах витрат електроенергії"/>
      <sheetName val="інформ.про суб.ВВ"/>
      <sheetName val="електроенергія на ремонт"/>
      <sheetName val="розр.абон.плати"/>
      <sheetName val=" вода і стоки"/>
      <sheetName val="Розрах. зп на вир.тран.і пост "/>
      <sheetName val="накладні витрат. "/>
      <sheetName val="транспортування"/>
      <sheetName val="постачання"/>
      <sheetName val="теплова енергія з прибутком"/>
      <sheetName val="Аркуш1"/>
      <sheetName val="про намір  нові тарифи"/>
      <sheetName val="обгрунтування зміни тарифів"/>
      <sheetName val="вода, стоки на вир.транспортув."/>
      <sheetName val="середня ціна палива за опал.пер"/>
      <sheetName val="розр."/>
      <sheetName val="виробництво"/>
      <sheetName val=" різниця в тарифах"/>
      <sheetName val="Розрахунок інших операц витрат"/>
      <sheetName val="пояснювальна запика"/>
      <sheetName val="розрах.амортизації"/>
      <sheetName val="повідомл.про намір"/>
      <sheetName val="структура тарифу на тепл.енергі"/>
      <sheetName val="Роз&quot;яснення по абон.платі"/>
      <sheetName val="перелік поданих докумен"/>
      <sheetName val="Розр.витрат солі на Космосі"/>
      <sheetName val="інформація про суб&quot;єкта господ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5">
          <cell r="I65">
            <v>9037.0629287591983</v>
          </cell>
        </row>
        <row r="66">
          <cell r="I66">
            <v>0</v>
          </cell>
        </row>
        <row r="67">
          <cell r="I67">
            <v>0</v>
          </cell>
        </row>
        <row r="74">
          <cell r="I74">
            <v>450.38938094987287</v>
          </cell>
        </row>
      </sheetData>
      <sheetData sheetId="14">
        <row r="43">
          <cell r="J43">
            <v>2880.8201642742833</v>
          </cell>
        </row>
        <row r="52">
          <cell r="J52">
            <v>143.5743914415292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78">
          <cell r="H78">
            <v>45021.096999114328</v>
          </cell>
        </row>
        <row r="97">
          <cell r="H97">
            <v>2243.7626214360489</v>
          </cell>
          <cell r="L97">
            <v>2176.2094034186307</v>
          </cell>
          <cell r="T97">
            <v>2401.0598286016711</v>
          </cell>
          <cell r="X97">
            <v>3423.1708317701173</v>
          </cell>
        </row>
        <row r="112">
          <cell r="H112">
            <v>2243.7626214360489</v>
          </cell>
          <cell r="L112">
            <v>2176.2094034186307</v>
          </cell>
          <cell r="T112">
            <v>2401.0598286016711</v>
          </cell>
          <cell r="X112">
            <v>3423.1708317701173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7:R60"/>
  <sheetViews>
    <sheetView tabSelected="1" workbookViewId="0">
      <selection activeCell="D12" sqref="D12:L12"/>
    </sheetView>
  </sheetViews>
  <sheetFormatPr defaultRowHeight="14.5"/>
  <cols>
    <col min="4" max="4" width="6.26953125" customWidth="1"/>
    <col min="5" max="5" width="33.1796875" customWidth="1"/>
    <col min="7" max="7" width="11.453125" bestFit="1" customWidth="1"/>
    <col min="8" max="8" width="13" customWidth="1"/>
    <col min="9" max="9" width="0.1796875" customWidth="1"/>
    <col min="10" max="10" width="12.7265625" customWidth="1"/>
    <col min="11" max="11" width="12" customWidth="1"/>
    <col min="12" max="12" width="15.54296875" customWidth="1"/>
    <col min="14" max="14" width="16.1796875" customWidth="1"/>
    <col min="16" max="16" width="10.26953125" customWidth="1"/>
  </cols>
  <sheetData>
    <row r="7" spans="4:13" ht="15.5">
      <c r="D7" s="1"/>
      <c r="E7" s="2"/>
      <c r="F7" s="2"/>
      <c r="H7" s="3"/>
      <c r="I7" s="3"/>
      <c r="J7" s="4"/>
      <c r="K7" s="4"/>
      <c r="L7" s="4" t="s">
        <v>0</v>
      </c>
    </row>
    <row r="8" spans="4:13" ht="15.5">
      <c r="D8" s="1" t="s">
        <v>1</v>
      </c>
      <c r="E8" s="2"/>
      <c r="F8" s="2"/>
      <c r="H8" s="3"/>
      <c r="I8" s="3"/>
      <c r="J8" s="64" t="s">
        <v>2</v>
      </c>
      <c r="K8" s="64"/>
      <c r="L8" s="64"/>
    </row>
    <row r="9" spans="4:13" ht="15.5">
      <c r="D9" s="1"/>
      <c r="E9" s="2"/>
      <c r="F9" s="2"/>
      <c r="H9" s="3"/>
      <c r="I9" s="3"/>
      <c r="J9" s="64" t="s">
        <v>3</v>
      </c>
      <c r="K9" s="64"/>
      <c r="L9" s="64"/>
    </row>
    <row r="10" spans="4:13" ht="15.5">
      <c r="D10" s="1"/>
      <c r="E10" s="2"/>
      <c r="F10" s="2"/>
      <c r="H10" s="3"/>
      <c r="I10" s="3"/>
      <c r="J10" s="64" t="s">
        <v>4</v>
      </c>
      <c r="K10" s="64"/>
      <c r="L10" s="64"/>
    </row>
    <row r="11" spans="4:13" ht="15.5">
      <c r="D11" s="1"/>
      <c r="E11" s="2"/>
      <c r="F11" s="2"/>
      <c r="H11" s="3"/>
      <c r="I11" s="3"/>
      <c r="J11" s="65"/>
      <c r="K11" s="65"/>
      <c r="L11" s="65"/>
    </row>
    <row r="12" spans="4:13" ht="15.5">
      <c r="D12" s="54" t="s">
        <v>5</v>
      </c>
      <c r="E12" s="54"/>
      <c r="F12" s="54"/>
      <c r="G12" s="54"/>
      <c r="H12" s="54"/>
      <c r="I12" s="54"/>
      <c r="J12" s="54"/>
      <c r="K12" s="54"/>
      <c r="L12" s="54"/>
    </row>
    <row r="13" spans="4:13" ht="15.5">
      <c r="D13" s="54" t="s">
        <v>6</v>
      </c>
      <c r="E13" s="54"/>
      <c r="F13" s="54"/>
      <c r="G13" s="54"/>
      <c r="H13" s="54"/>
      <c r="I13" s="54"/>
      <c r="J13" s="54"/>
      <c r="K13" s="54"/>
      <c r="L13" s="54"/>
    </row>
    <row r="14" spans="4:13">
      <c r="D14" s="5"/>
      <c r="E14" s="5" t="s">
        <v>7</v>
      </c>
      <c r="F14" s="5"/>
      <c r="G14" s="5"/>
      <c r="H14" s="5"/>
      <c r="I14" s="5"/>
      <c r="J14" s="5"/>
      <c r="K14" s="53" t="s">
        <v>8</v>
      </c>
      <c r="L14" s="53"/>
    </row>
    <row r="15" spans="4:13" ht="15.5">
      <c r="D15" s="54" t="s">
        <v>9</v>
      </c>
      <c r="E15" s="54"/>
      <c r="F15" s="54"/>
      <c r="G15" s="54"/>
      <c r="H15" s="54"/>
      <c r="I15" s="54"/>
      <c r="J15" s="54"/>
      <c r="K15" s="54"/>
      <c r="L15" s="54"/>
    </row>
    <row r="16" spans="4:13">
      <c r="D16" s="5"/>
      <c r="E16" s="5"/>
      <c r="F16" s="5"/>
      <c r="G16" s="5"/>
      <c r="H16" s="6">
        <v>0.8296</v>
      </c>
      <c r="I16" s="5"/>
      <c r="J16" s="5"/>
      <c r="K16" s="6">
        <v>0.14180000000000001</v>
      </c>
      <c r="L16" s="7">
        <v>2.86E-2</v>
      </c>
      <c r="M16" s="8">
        <f>H16+K16+L16</f>
        <v>1</v>
      </c>
    </row>
    <row r="17" spans="4:17" ht="15.5" thickBot="1">
      <c r="D17" s="55" t="s">
        <v>10</v>
      </c>
      <c r="E17" s="57" t="s">
        <v>11</v>
      </c>
      <c r="F17" s="57" t="s">
        <v>12</v>
      </c>
      <c r="G17" s="59" t="s">
        <v>13</v>
      </c>
      <c r="H17" s="61" t="s">
        <v>14</v>
      </c>
      <c r="I17" s="62"/>
      <c r="J17" s="62"/>
      <c r="K17" s="62"/>
      <c r="L17" s="63"/>
    </row>
    <row r="18" spans="4:17" ht="96" customHeight="1" thickBot="1">
      <c r="D18" s="56"/>
      <c r="E18" s="58"/>
      <c r="F18" s="58"/>
      <c r="G18" s="60"/>
      <c r="H18" s="51" t="s">
        <v>15</v>
      </c>
      <c r="I18" s="52"/>
      <c r="J18" s="9" t="s">
        <v>16</v>
      </c>
      <c r="K18" s="9" t="s">
        <v>17</v>
      </c>
      <c r="L18" s="10" t="s">
        <v>18</v>
      </c>
    </row>
    <row r="19" spans="4:17" ht="15.5" thickBot="1">
      <c r="D19" s="11">
        <v>1</v>
      </c>
      <c r="E19" s="9">
        <v>2</v>
      </c>
      <c r="F19" s="9">
        <v>3</v>
      </c>
      <c r="G19" s="9">
        <v>4</v>
      </c>
      <c r="H19" s="51">
        <v>5</v>
      </c>
      <c r="I19" s="52"/>
      <c r="J19" s="9">
        <v>6</v>
      </c>
      <c r="K19" s="9">
        <v>7</v>
      </c>
      <c r="L19" s="10">
        <v>8</v>
      </c>
    </row>
    <row r="20" spans="4:17" ht="30.5" thickBot="1">
      <c r="D20" s="12">
        <v>1</v>
      </c>
      <c r="E20" s="13" t="s">
        <v>19</v>
      </c>
      <c r="F20" s="13" t="s">
        <v>20</v>
      </c>
      <c r="G20" s="14">
        <f>[1]виробництво!H97</f>
        <v>2243.7626214360489</v>
      </c>
      <c r="H20" s="48">
        <f>[1]виробництво!L97</f>
        <v>2176.2094034186307</v>
      </c>
      <c r="I20" s="50"/>
      <c r="J20" s="15">
        <v>0</v>
      </c>
      <c r="K20" s="14">
        <f>[1]виробництво!T97</f>
        <v>2401.0598286016711</v>
      </c>
      <c r="L20" s="16">
        <f>[1]виробництво!X97</f>
        <v>3423.1708317701173</v>
      </c>
    </row>
    <row r="21" spans="4:17" ht="31.5" thickBot="1">
      <c r="D21" s="17" t="s">
        <v>21</v>
      </c>
      <c r="E21" s="18" t="s">
        <v>22</v>
      </c>
      <c r="F21" s="18" t="s">
        <v>20</v>
      </c>
      <c r="G21" s="19">
        <f>[1]виробництво!H112</f>
        <v>2243.7626214360489</v>
      </c>
      <c r="H21" s="46">
        <f>[1]виробництво!L112</f>
        <v>2176.2094034186307</v>
      </c>
      <c r="I21" s="45"/>
      <c r="J21" s="20">
        <v>0</v>
      </c>
      <c r="K21" s="19">
        <f>[1]виробництво!T112</f>
        <v>2401.0598286016711</v>
      </c>
      <c r="L21" s="21">
        <f>[1]виробництво!X112</f>
        <v>3423.1708317701173</v>
      </c>
    </row>
    <row r="22" spans="4:17" ht="16" thickBot="1">
      <c r="D22" s="17" t="s">
        <v>23</v>
      </c>
      <c r="E22" s="18" t="s">
        <v>24</v>
      </c>
      <c r="F22" s="18" t="s">
        <v>25</v>
      </c>
      <c r="G22" s="20">
        <v>0</v>
      </c>
      <c r="H22" s="44">
        <v>0</v>
      </c>
      <c r="I22" s="45"/>
      <c r="J22" s="20">
        <v>0</v>
      </c>
      <c r="K22" s="20">
        <v>0</v>
      </c>
      <c r="L22" s="22">
        <v>0</v>
      </c>
    </row>
    <row r="23" spans="4:17" ht="31.5" thickBot="1">
      <c r="D23" s="17" t="s">
        <v>26</v>
      </c>
      <c r="E23" s="18" t="s">
        <v>27</v>
      </c>
      <c r="F23" s="18" t="s">
        <v>20</v>
      </c>
      <c r="G23" s="20">
        <v>0</v>
      </c>
      <c r="H23" s="44">
        <v>0</v>
      </c>
      <c r="I23" s="45"/>
      <c r="J23" s="20">
        <v>0</v>
      </c>
      <c r="K23" s="20">
        <v>0</v>
      </c>
      <c r="L23" s="22">
        <v>0</v>
      </c>
    </row>
    <row r="24" spans="4:17" ht="30.5" thickBot="1">
      <c r="D24" s="12" t="s">
        <v>28</v>
      </c>
      <c r="E24" s="13" t="s">
        <v>29</v>
      </c>
      <c r="F24" s="13" t="s">
        <v>20</v>
      </c>
      <c r="G24" s="14">
        <f>[1]транспортування!I74</f>
        <v>450.38938094987287</v>
      </c>
      <c r="H24" s="48">
        <f>G24</f>
        <v>450.38938094987287</v>
      </c>
      <c r="I24" s="50"/>
      <c r="J24" s="14">
        <v>0</v>
      </c>
      <c r="K24" s="14">
        <f>G24</f>
        <v>450.38938094987287</v>
      </c>
      <c r="L24" s="16">
        <f>G24</f>
        <v>450.38938094987287</v>
      </c>
    </row>
    <row r="25" spans="4:17" ht="31.5" thickBot="1">
      <c r="D25" s="17" t="s">
        <v>30</v>
      </c>
      <c r="E25" s="18" t="s">
        <v>31</v>
      </c>
      <c r="F25" s="18" t="s">
        <v>20</v>
      </c>
      <c r="G25" s="19">
        <f>G24-G27</f>
        <v>450.38938094987287</v>
      </c>
      <c r="H25" s="46">
        <f>G25</f>
        <v>450.38938094987287</v>
      </c>
      <c r="I25" s="45"/>
      <c r="J25" s="20">
        <v>0</v>
      </c>
      <c r="K25" s="19">
        <f>G25</f>
        <v>450.38938094987287</v>
      </c>
      <c r="L25" s="21">
        <f>G25</f>
        <v>450.38938094987287</v>
      </c>
    </row>
    <row r="26" spans="4:17" ht="78" customHeight="1" thickBot="1">
      <c r="D26" s="17" t="s">
        <v>32</v>
      </c>
      <c r="E26" s="18" t="s">
        <v>33</v>
      </c>
      <c r="F26" s="18" t="s">
        <v>25</v>
      </c>
      <c r="G26" s="19">
        <v>0</v>
      </c>
      <c r="H26" s="46">
        <f>G26*H16/100</f>
        <v>0</v>
      </c>
      <c r="I26" s="47"/>
      <c r="J26" s="19">
        <v>0</v>
      </c>
      <c r="K26" s="19">
        <f>G26*K16/100</f>
        <v>0</v>
      </c>
      <c r="L26" s="21">
        <f>[1]транспортування!I66</f>
        <v>0</v>
      </c>
      <c r="N26" s="23">
        <f>H26+K26+L26</f>
        <v>0</v>
      </c>
    </row>
    <row r="27" spans="4:17" ht="31.5" thickBot="1">
      <c r="D27" s="17" t="s">
        <v>34</v>
      </c>
      <c r="E27" s="18" t="s">
        <v>27</v>
      </c>
      <c r="F27" s="18" t="s">
        <v>20</v>
      </c>
      <c r="G27" s="19">
        <f>[1]транспортування!I67/23261*1000</f>
        <v>0</v>
      </c>
      <c r="H27" s="46">
        <f>G27</f>
        <v>0</v>
      </c>
      <c r="I27" s="45"/>
      <c r="J27" s="20">
        <v>0</v>
      </c>
      <c r="K27" s="19">
        <f>G27</f>
        <v>0</v>
      </c>
      <c r="L27" s="21">
        <f>G27</f>
        <v>0</v>
      </c>
    </row>
    <row r="28" spans="4:17" ht="30.5" thickBot="1">
      <c r="D28" s="12">
        <v>3</v>
      </c>
      <c r="E28" s="13" t="s">
        <v>35</v>
      </c>
      <c r="F28" s="13" t="s">
        <v>20</v>
      </c>
      <c r="G28" s="14">
        <f>[1]постачання!J52</f>
        <v>143.5743914415292</v>
      </c>
      <c r="H28" s="48">
        <f>G28</f>
        <v>143.5743914415292</v>
      </c>
      <c r="I28" s="50"/>
      <c r="J28" s="14">
        <v>0</v>
      </c>
      <c r="K28" s="14">
        <f>G28</f>
        <v>143.5743914415292</v>
      </c>
      <c r="L28" s="16">
        <f>G28</f>
        <v>143.5743914415292</v>
      </c>
    </row>
    <row r="29" spans="4:17" ht="31.5" thickBot="1">
      <c r="D29" s="17" t="s">
        <v>36</v>
      </c>
      <c r="E29" s="18" t="s">
        <v>37</v>
      </c>
      <c r="F29" s="18" t="s">
        <v>20</v>
      </c>
      <c r="G29" s="19">
        <f>G28</f>
        <v>143.5743914415292</v>
      </c>
      <c r="H29" s="46">
        <f>G29</f>
        <v>143.5743914415292</v>
      </c>
      <c r="I29" s="45"/>
      <c r="J29" s="20">
        <v>0</v>
      </c>
      <c r="K29" s="19">
        <f>G29</f>
        <v>143.5743914415292</v>
      </c>
      <c r="L29" s="21">
        <f>G29</f>
        <v>143.5743914415292</v>
      </c>
    </row>
    <row r="30" spans="4:17" ht="16" thickBot="1">
      <c r="D30" s="17" t="s">
        <v>38</v>
      </c>
      <c r="E30" s="18" t="s">
        <v>24</v>
      </c>
      <c r="F30" s="18" t="s">
        <v>25</v>
      </c>
      <c r="G30" s="20">
        <v>0</v>
      </c>
      <c r="H30" s="44">
        <v>0</v>
      </c>
      <c r="I30" s="45"/>
      <c r="J30" s="20">
        <v>0</v>
      </c>
      <c r="K30" s="20">
        <v>0</v>
      </c>
      <c r="L30" s="22">
        <v>0</v>
      </c>
    </row>
    <row r="31" spans="4:17" ht="31.5" thickBot="1">
      <c r="D31" s="17" t="s">
        <v>39</v>
      </c>
      <c r="E31" s="18" t="s">
        <v>27</v>
      </c>
      <c r="F31" s="18" t="s">
        <v>20</v>
      </c>
      <c r="G31" s="20">
        <v>0</v>
      </c>
      <c r="H31" s="44">
        <v>0</v>
      </c>
      <c r="I31" s="45"/>
      <c r="J31" s="20">
        <v>0</v>
      </c>
      <c r="K31" s="20">
        <v>0</v>
      </c>
      <c r="L31" s="22">
        <v>0</v>
      </c>
      <c r="Q31">
        <f>3512.61-3464.76</f>
        <v>47.849999999999909</v>
      </c>
    </row>
    <row r="32" spans="4:17" ht="30.5" thickBot="1">
      <c r="D32" s="12">
        <v>4</v>
      </c>
      <c r="E32" s="13" t="s">
        <v>40</v>
      </c>
      <c r="F32" s="13" t="s">
        <v>20</v>
      </c>
      <c r="G32" s="14">
        <f>G33+G34+G35</f>
        <v>2951.2354495805489</v>
      </c>
      <c r="H32" s="48">
        <f>H33+H34+H35</f>
        <v>2880.980102842434</v>
      </c>
      <c r="I32" s="49"/>
      <c r="J32" s="15">
        <v>0</v>
      </c>
      <c r="K32" s="14">
        <f>K33+K34+K35</f>
        <v>3114.8245450327959</v>
      </c>
      <c r="L32" s="16">
        <f>L33+L34+L35</f>
        <v>4177.8199883279804</v>
      </c>
      <c r="M32" s="23">
        <f>L20+L24+L28</f>
        <v>4017.1346041615193</v>
      </c>
      <c r="N32">
        <f>H32*1.2</f>
        <v>3457.1761234109208</v>
      </c>
      <c r="Q32">
        <f>5833.26-5807.28</f>
        <v>25.980000000000473</v>
      </c>
    </row>
    <row r="33" spans="2:18" ht="31.5" thickBot="1">
      <c r="D33" s="17" t="s">
        <v>41</v>
      </c>
      <c r="E33" s="18" t="s">
        <v>42</v>
      </c>
      <c r="F33" s="18" t="s">
        <v>20</v>
      </c>
      <c r="G33" s="19">
        <f>G21+G25+G29</f>
        <v>2837.7263938274509</v>
      </c>
      <c r="H33" s="46">
        <f>H21+H25+H29</f>
        <v>2770.1731758100327</v>
      </c>
      <c r="I33" s="45"/>
      <c r="J33" s="20">
        <v>0</v>
      </c>
      <c r="K33" s="19">
        <f>K21+K25+K29</f>
        <v>2995.0236009930732</v>
      </c>
      <c r="L33" s="21">
        <f>L21+L25+L29</f>
        <v>4017.1346041615193</v>
      </c>
      <c r="N33">
        <f>H33*1.2</f>
        <v>3324.2078109720392</v>
      </c>
    </row>
    <row r="34" spans="2:18" ht="16" thickBot="1">
      <c r="D34" s="17" t="s">
        <v>43</v>
      </c>
      <c r="E34" s="18" t="s">
        <v>24</v>
      </c>
      <c r="F34" s="18" t="s">
        <v>25</v>
      </c>
      <c r="G34" s="19">
        <v>0</v>
      </c>
      <c r="H34" s="46">
        <f>G34*0.8760222562</f>
        <v>0</v>
      </c>
      <c r="I34" s="47"/>
      <c r="J34" s="19">
        <v>0</v>
      </c>
      <c r="K34" s="19">
        <f>G34*0.09578400986</f>
        <v>0</v>
      </c>
      <c r="L34" s="21">
        <f>G34*0.028193733896</f>
        <v>0</v>
      </c>
      <c r="N34" s="23"/>
      <c r="O34" t="s">
        <v>44</v>
      </c>
      <c r="P34" t="s">
        <v>15</v>
      </c>
      <c r="Q34" t="s">
        <v>45</v>
      </c>
      <c r="R34" t="s">
        <v>46</v>
      </c>
    </row>
    <row r="35" spans="2:18" ht="31.5" thickBot="1">
      <c r="D35" s="17" t="s">
        <v>47</v>
      </c>
      <c r="E35" s="18" t="s">
        <v>48</v>
      </c>
      <c r="F35" s="18" t="s">
        <v>20</v>
      </c>
      <c r="G35" s="19">
        <f>G33*0.04</f>
        <v>113.50905575309804</v>
      </c>
      <c r="H35" s="46">
        <f>H33*0.04</f>
        <v>110.8069270324013</v>
      </c>
      <c r="I35" s="45"/>
      <c r="J35" s="20">
        <v>0</v>
      </c>
      <c r="K35" s="19">
        <f>K33*0.04</f>
        <v>119.80094403972294</v>
      </c>
      <c r="L35" s="21">
        <f>L33*0.04</f>
        <v>160.68538416646078</v>
      </c>
      <c r="N35" t="s">
        <v>49</v>
      </c>
      <c r="O35" s="23">
        <f>G33*0.04</f>
        <v>113.50905575309804</v>
      </c>
      <c r="P35" s="23">
        <f>H33*0.04</f>
        <v>110.8069270324013</v>
      </c>
      <c r="Q35" s="23">
        <f>K33*0.04</f>
        <v>119.80094403972294</v>
      </c>
      <c r="R35" s="23">
        <f>L33*0.04</f>
        <v>160.68538416646078</v>
      </c>
    </row>
    <row r="36" spans="2:18" ht="66.75" customHeight="1" thickBot="1">
      <c r="D36" s="17">
        <v>5</v>
      </c>
      <c r="E36" s="18" t="s">
        <v>50</v>
      </c>
      <c r="F36" s="18" t="s">
        <v>25</v>
      </c>
      <c r="G36" s="19">
        <f>G37+G39</f>
        <v>59216.539295833718</v>
      </c>
      <c r="H36" s="46">
        <f>H37+H39</f>
        <v>47956.794791915156</v>
      </c>
      <c r="I36" s="47"/>
      <c r="J36" s="20">
        <v>0</v>
      </c>
      <c r="K36" s="19">
        <f>K37+K39</f>
        <v>8861.6758306183037</v>
      </c>
      <c r="L36" s="21">
        <f>L37+L39</f>
        <v>2398.0686733002603</v>
      </c>
      <c r="N36" s="23" t="s">
        <v>51</v>
      </c>
      <c r="O36" s="23">
        <f>O35*0.18</f>
        <v>20.431630035557646</v>
      </c>
      <c r="P36" s="23">
        <f>P35*0.18</f>
        <v>19.945246865832235</v>
      </c>
      <c r="Q36" s="23">
        <f>Q35*0.18</f>
        <v>21.564169927150129</v>
      </c>
      <c r="R36" s="23">
        <f>R35*0.18</f>
        <v>28.923369149962937</v>
      </c>
    </row>
    <row r="37" spans="2:18" ht="54.75" customHeight="1" thickBot="1">
      <c r="B37" s="23"/>
      <c r="D37" s="17" t="s">
        <v>52</v>
      </c>
      <c r="E37" s="18" t="s">
        <v>53</v>
      </c>
      <c r="F37" s="18" t="s">
        <v>25</v>
      </c>
      <c r="G37" s="19">
        <f>[1]постачання!J43+[1]транспортування!I65+[1]виробництво!H78</f>
        <v>56938.980092147809</v>
      </c>
      <c r="H37" s="19">
        <f>(H21+H25+H29)*H44/1000</f>
        <v>46112.302684533803</v>
      </c>
      <c r="I37" s="19"/>
      <c r="J37" s="20">
        <f>J33*20600/1000</f>
        <v>0</v>
      </c>
      <c r="K37" s="19">
        <f>(K21+K25+K29)*K44/1000</f>
        <v>8520.8421448252921</v>
      </c>
      <c r="L37" s="19">
        <f>(L21+L25+L29)*L45/1000</f>
        <v>2305.835262788712</v>
      </c>
      <c r="N37" s="23" t="s">
        <v>54</v>
      </c>
      <c r="O37" s="23">
        <f>O35+O36</f>
        <v>133.94068578865568</v>
      </c>
      <c r="P37" s="23">
        <f>P35+P36</f>
        <v>130.75217389823354</v>
      </c>
      <c r="Q37" s="23">
        <f>Q35+Q36</f>
        <v>141.36511396687305</v>
      </c>
      <c r="R37" s="23">
        <f>R35+R36</f>
        <v>189.6087533164237</v>
      </c>
    </row>
    <row r="38" spans="2:18" ht="16" thickBot="1">
      <c r="D38" s="17" t="s">
        <v>55</v>
      </c>
      <c r="E38" s="18" t="s">
        <v>24</v>
      </c>
      <c r="F38" s="18" t="s">
        <v>25</v>
      </c>
      <c r="G38" s="19">
        <f>G34</f>
        <v>0</v>
      </c>
      <c r="H38" s="46">
        <f>H34</f>
        <v>0</v>
      </c>
      <c r="I38" s="45"/>
      <c r="J38" s="20">
        <v>0</v>
      </c>
      <c r="K38" s="19">
        <f>K34</f>
        <v>0</v>
      </c>
      <c r="L38" s="21">
        <f>L34</f>
        <v>0</v>
      </c>
    </row>
    <row r="39" spans="2:18" ht="51" customHeight="1" thickBot="1">
      <c r="D39" s="17" t="s">
        <v>56</v>
      </c>
      <c r="E39" s="18" t="s">
        <v>57</v>
      </c>
      <c r="F39" s="18" t="s">
        <v>25</v>
      </c>
      <c r="G39" s="19">
        <f>G35*G45/1000</f>
        <v>2277.5592036859125</v>
      </c>
      <c r="H39" s="46">
        <f>H35*H44/1000</f>
        <v>1844.4921073813523</v>
      </c>
      <c r="I39" s="47"/>
      <c r="J39" s="20">
        <f>0</f>
        <v>0</v>
      </c>
      <c r="K39" s="19">
        <f>K35*K45/1000</f>
        <v>340.83368579301174</v>
      </c>
      <c r="L39" s="21">
        <f>L35*L45/1000</f>
        <v>92.233410511548485</v>
      </c>
      <c r="N39" s="23">
        <f>H39+K39+L39</f>
        <v>2277.5592036859125</v>
      </c>
    </row>
    <row r="40" spans="2:18" ht="102" customHeight="1" thickBot="1">
      <c r="D40" s="17">
        <v>6</v>
      </c>
      <c r="E40" s="18" t="s">
        <v>58</v>
      </c>
      <c r="F40" s="18" t="s">
        <v>25</v>
      </c>
      <c r="G40" s="19">
        <f t="shared" ref="G40:H42" si="0">G36</f>
        <v>59216.539295833718</v>
      </c>
      <c r="H40" s="46">
        <f t="shared" si="0"/>
        <v>47956.794791915156</v>
      </c>
      <c r="I40" s="47"/>
      <c r="J40" s="20">
        <v>0</v>
      </c>
      <c r="K40" s="19">
        <f t="shared" ref="K40:L42" si="1">K36</f>
        <v>8861.6758306183037</v>
      </c>
      <c r="L40" s="21">
        <f t="shared" si="1"/>
        <v>2398.0686733002603</v>
      </c>
      <c r="N40" s="23">
        <f>H40+K40+L40</f>
        <v>59216.539295833718</v>
      </c>
    </row>
    <row r="41" spans="2:18" ht="51" customHeight="1" thickBot="1">
      <c r="B41">
        <f>56082.62-55960.58</f>
        <v>122.04000000000087</v>
      </c>
      <c r="D41" s="17" t="s">
        <v>59</v>
      </c>
      <c r="E41" s="18" t="s">
        <v>53</v>
      </c>
      <c r="F41" s="18" t="s">
        <v>25</v>
      </c>
      <c r="G41" s="19">
        <f t="shared" si="0"/>
        <v>56938.980092147809</v>
      </c>
      <c r="H41" s="46">
        <f t="shared" si="0"/>
        <v>46112.302684533803</v>
      </c>
      <c r="I41" s="47"/>
      <c r="J41" s="19"/>
      <c r="K41" s="19">
        <f t="shared" si="1"/>
        <v>8520.8421448252921</v>
      </c>
      <c r="L41" s="21">
        <f t="shared" si="1"/>
        <v>2305.835262788712</v>
      </c>
      <c r="N41" s="23">
        <f>H41+K41+L41</f>
        <v>56938.980092147809</v>
      </c>
    </row>
    <row r="42" spans="2:18" ht="16" thickBot="1">
      <c r="D42" s="17" t="s">
        <v>60</v>
      </c>
      <c r="E42" s="18" t="s">
        <v>24</v>
      </c>
      <c r="F42" s="18" t="s">
        <v>25</v>
      </c>
      <c r="G42" s="19">
        <f t="shared" si="0"/>
        <v>0</v>
      </c>
      <c r="H42" s="46">
        <f t="shared" si="0"/>
        <v>0</v>
      </c>
      <c r="I42" s="45"/>
      <c r="J42" s="20">
        <v>0</v>
      </c>
      <c r="K42" s="19">
        <f t="shared" si="1"/>
        <v>0</v>
      </c>
      <c r="L42" s="21">
        <f t="shared" si="1"/>
        <v>0</v>
      </c>
    </row>
    <row r="43" spans="2:18" ht="54.75" customHeight="1" thickBot="1">
      <c r="D43" s="17" t="s">
        <v>61</v>
      </c>
      <c r="E43" s="18" t="s">
        <v>57</v>
      </c>
      <c r="F43" s="18" t="s">
        <v>25</v>
      </c>
      <c r="G43" s="19">
        <f>G39</f>
        <v>2277.5592036859125</v>
      </c>
      <c r="H43" s="46">
        <f>H39</f>
        <v>1844.4921073813523</v>
      </c>
      <c r="I43" s="45"/>
      <c r="J43" s="20">
        <v>0</v>
      </c>
      <c r="K43" s="19">
        <f>K35*K45/1000</f>
        <v>340.83368579301174</v>
      </c>
      <c r="L43" s="21">
        <f>L45*L35/1000</f>
        <v>92.233410511548485</v>
      </c>
      <c r="N43" s="23">
        <f>H43+K43+L43</f>
        <v>2277.5592036859125</v>
      </c>
    </row>
    <row r="44" spans="2:18" ht="70.5" customHeight="1" thickBot="1">
      <c r="D44" s="17">
        <v>7</v>
      </c>
      <c r="E44" s="18" t="s">
        <v>62</v>
      </c>
      <c r="F44" s="18" t="s">
        <v>63</v>
      </c>
      <c r="G44" s="20">
        <v>20065</v>
      </c>
      <c r="H44" s="44">
        <v>16646</v>
      </c>
      <c r="I44" s="45"/>
      <c r="J44" s="20">
        <v>0</v>
      </c>
      <c r="K44" s="19">
        <v>2845</v>
      </c>
      <c r="L44" s="22">
        <v>574</v>
      </c>
      <c r="N44">
        <f>H44+K44+L44</f>
        <v>20065</v>
      </c>
    </row>
    <row r="45" spans="2:18" ht="31.5" thickBot="1">
      <c r="D45" s="17" t="s">
        <v>64</v>
      </c>
      <c r="E45" s="18" t="s">
        <v>65</v>
      </c>
      <c r="F45" s="18" t="s">
        <v>63</v>
      </c>
      <c r="G45" s="20">
        <v>20065</v>
      </c>
      <c r="H45" s="44">
        <v>16646</v>
      </c>
      <c r="I45" s="45"/>
      <c r="J45" s="20">
        <v>0</v>
      </c>
      <c r="K45" s="20">
        <v>2845</v>
      </c>
      <c r="L45" s="22">
        <v>574</v>
      </c>
    </row>
    <row r="46" spans="2:18" ht="31.5" thickBot="1">
      <c r="D46" s="17" t="s">
        <v>66</v>
      </c>
      <c r="E46" s="18" t="s">
        <v>67</v>
      </c>
      <c r="F46" s="18" t="s">
        <v>63</v>
      </c>
      <c r="G46" s="20">
        <v>0</v>
      </c>
      <c r="H46" s="44">
        <v>0</v>
      </c>
      <c r="I46" s="45"/>
      <c r="J46" s="20">
        <v>0</v>
      </c>
      <c r="K46" s="20">
        <v>0</v>
      </c>
      <c r="L46" s="22">
        <v>0</v>
      </c>
    </row>
    <row r="47" spans="2:18" ht="16" thickBot="1">
      <c r="D47" s="17">
        <v>8</v>
      </c>
      <c r="E47" s="18" t="s">
        <v>68</v>
      </c>
      <c r="F47" s="24"/>
      <c r="G47" s="20"/>
      <c r="H47" s="44"/>
      <c r="I47" s="45"/>
      <c r="J47" s="20"/>
      <c r="K47" s="20"/>
      <c r="L47" s="22"/>
    </row>
    <row r="48" spans="2:18" ht="16" thickBot="1">
      <c r="D48" s="17" t="s">
        <v>69</v>
      </c>
      <c r="E48" s="18" t="s">
        <v>70</v>
      </c>
      <c r="F48" s="18" t="s">
        <v>71</v>
      </c>
      <c r="G48" s="20">
        <v>0</v>
      </c>
      <c r="H48" s="44">
        <v>0</v>
      </c>
      <c r="I48" s="45"/>
      <c r="J48" s="20">
        <v>0</v>
      </c>
      <c r="K48" s="20">
        <v>0</v>
      </c>
      <c r="L48" s="22">
        <v>0</v>
      </c>
    </row>
    <row r="49" spans="4:12" ht="31.5" thickBot="1">
      <c r="D49" s="17" t="s">
        <v>72</v>
      </c>
      <c r="E49" s="18" t="s">
        <v>73</v>
      </c>
      <c r="F49" s="18" t="s">
        <v>71</v>
      </c>
      <c r="G49" s="19">
        <f>G27*100/G24</f>
        <v>0</v>
      </c>
      <c r="H49" s="46">
        <f>H27*100/H24</f>
        <v>0</v>
      </c>
      <c r="I49" s="47"/>
      <c r="J49" s="20">
        <v>0</v>
      </c>
      <c r="K49" s="19">
        <f>K27*100/K24</f>
        <v>0</v>
      </c>
      <c r="L49" s="21">
        <f>L27*100/L24</f>
        <v>0</v>
      </c>
    </row>
    <row r="50" spans="4:12" ht="15.5">
      <c r="D50" s="25" t="s">
        <v>74</v>
      </c>
      <c r="E50" s="26" t="s">
        <v>75</v>
      </c>
      <c r="F50" s="26" t="s">
        <v>71</v>
      </c>
      <c r="G50" s="27">
        <v>0</v>
      </c>
      <c r="H50" s="38">
        <v>0</v>
      </c>
      <c r="I50" s="39"/>
      <c r="J50" s="27">
        <v>0</v>
      </c>
      <c r="K50" s="27">
        <v>0</v>
      </c>
      <c r="L50" s="28">
        <v>0</v>
      </c>
    </row>
    <row r="51" spans="4:12" ht="15.5">
      <c r="D51" s="29" t="s">
        <v>76</v>
      </c>
      <c r="E51" s="30" t="s">
        <v>77</v>
      </c>
      <c r="F51" s="30" t="s">
        <v>71</v>
      </c>
      <c r="G51" s="31">
        <v>4</v>
      </c>
      <c r="H51" s="40">
        <v>4</v>
      </c>
      <c r="I51" s="40"/>
      <c r="J51" s="31">
        <v>0</v>
      </c>
      <c r="K51" s="31">
        <v>4</v>
      </c>
      <c r="L51" s="31">
        <v>4</v>
      </c>
    </row>
    <row r="52" spans="4:12" ht="15.5">
      <c r="D52" s="41" t="s">
        <v>78</v>
      </c>
      <c r="E52" s="42"/>
      <c r="F52" s="42"/>
      <c r="G52" s="42"/>
      <c r="H52" s="42"/>
      <c r="I52" s="42"/>
      <c r="J52" s="42"/>
      <c r="K52" s="42"/>
      <c r="L52" s="43"/>
    </row>
    <row r="53" spans="4:12" ht="15.5">
      <c r="D53" s="35" t="s">
        <v>79</v>
      </c>
      <c r="E53" s="36"/>
      <c r="F53" s="36"/>
      <c r="G53" s="36" t="s">
        <v>80</v>
      </c>
      <c r="H53" s="36"/>
      <c r="I53" s="36" t="s">
        <v>81</v>
      </c>
      <c r="J53" s="36"/>
      <c r="K53" s="36"/>
      <c r="L53" s="37"/>
    </row>
    <row r="54" spans="4:12" ht="15.5">
      <c r="D54" s="35" t="s">
        <v>82</v>
      </c>
      <c r="E54" s="36"/>
      <c r="F54" s="36"/>
      <c r="G54" s="36" t="s">
        <v>83</v>
      </c>
      <c r="H54" s="36"/>
      <c r="I54" s="36" t="s">
        <v>84</v>
      </c>
      <c r="J54" s="36"/>
      <c r="K54" s="36"/>
      <c r="L54" s="37"/>
    </row>
    <row r="55" spans="4:12">
      <c r="D55" s="32"/>
      <c r="E55" s="33" t="s">
        <v>85</v>
      </c>
      <c r="F55" s="33"/>
      <c r="G55" s="33"/>
      <c r="H55" s="33"/>
      <c r="I55" s="33"/>
      <c r="J55" s="33"/>
      <c r="K55" s="33"/>
      <c r="L55" s="34"/>
    </row>
    <row r="60" spans="4:12">
      <c r="H60" s="23"/>
    </row>
  </sheetData>
  <mergeCells count="53">
    <mergeCell ref="D13:L13"/>
    <mergeCell ref="J8:L8"/>
    <mergeCell ref="J9:L9"/>
    <mergeCell ref="J10:L10"/>
    <mergeCell ref="J11:L11"/>
    <mergeCell ref="D12:L12"/>
    <mergeCell ref="H24:I24"/>
    <mergeCell ref="K14:L14"/>
    <mergeCell ref="D15:L15"/>
    <mergeCell ref="D17:D18"/>
    <mergeCell ref="E17:E18"/>
    <mergeCell ref="F17:F18"/>
    <mergeCell ref="G17:G18"/>
    <mergeCell ref="H17:L17"/>
    <mergeCell ref="H18:I18"/>
    <mergeCell ref="H19:I19"/>
    <mergeCell ref="H20:I20"/>
    <mergeCell ref="H21:I21"/>
    <mergeCell ref="H22:I22"/>
    <mergeCell ref="H23:I23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D54:F54"/>
    <mergeCell ref="G54:H54"/>
    <mergeCell ref="I54:L54"/>
    <mergeCell ref="H50:I50"/>
    <mergeCell ref="H51:I51"/>
    <mergeCell ref="D52:L52"/>
    <mergeCell ref="D53:F53"/>
    <mergeCell ref="G53:H53"/>
    <mergeCell ref="I53:L53"/>
  </mergeCells>
  <pageMargins left="0.7" right="0.2" top="0.35" bottom="0.35" header="0.3" footer="0.3"/>
  <pageSetup paperSize="9" scale="4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теплова енергія з прибутком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</dc:creator>
  <cp:lastModifiedBy>porta</cp:lastModifiedBy>
  <dcterms:created xsi:type="dcterms:W3CDTF">2025-02-03T11:37:19Z</dcterms:created>
  <dcterms:modified xsi:type="dcterms:W3CDTF">2025-02-03T11:39:15Z</dcterms:modified>
</cp:coreProperties>
</file>