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ІІІ - 2020 РІК\СЕСІЇ\Чергова 20 сесія від 23.12.2021 р\Бюджет 2022\"/>
    </mc:Choice>
  </mc:AlternateContent>
  <bookViews>
    <workbookView xWindow="0" yWindow="0" windowWidth="28800" windowHeight="12330"/>
  </bookViews>
  <sheets>
    <sheet name="виконком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I28" i="1" l="1"/>
  <c r="H30" i="1"/>
  <c r="H673" i="1" l="1"/>
  <c r="H672" i="1"/>
  <c r="I671" i="1"/>
  <c r="H671" i="1"/>
  <c r="I670" i="1"/>
  <c r="I669" i="1" s="1"/>
  <c r="H670" i="1"/>
  <c r="H669" i="1"/>
  <c r="I667" i="1"/>
  <c r="I666" i="1"/>
  <c r="H665" i="1"/>
  <c r="H664" i="1"/>
  <c r="H663" i="1"/>
  <c r="H662" i="1"/>
  <c r="I661" i="1"/>
  <c r="I660" i="1" s="1"/>
  <c r="H661" i="1"/>
  <c r="H660" i="1"/>
  <c r="H659" i="1"/>
  <c r="H658" i="1"/>
  <c r="H657" i="1"/>
  <c r="H656" i="1"/>
  <c r="I655" i="1"/>
  <c r="I654" i="1" s="1"/>
  <c r="H655" i="1"/>
  <c r="H654" i="1"/>
  <c r="H653" i="1"/>
  <c r="I652" i="1"/>
  <c r="H652" i="1"/>
  <c r="H651" i="1"/>
  <c r="H650" i="1"/>
  <c r="I649" i="1"/>
  <c r="H649" i="1"/>
  <c r="H648" i="1"/>
  <c r="H647" i="1"/>
  <c r="H646" i="1"/>
  <c r="H645" i="1"/>
  <c r="J644" i="1"/>
  <c r="H644" i="1"/>
  <c r="J643" i="1"/>
  <c r="H643" i="1"/>
  <c r="I642" i="1"/>
  <c r="H642" i="1"/>
  <c r="H641" i="1"/>
  <c r="I640" i="1"/>
  <c r="H640" i="1"/>
  <c r="H639" i="1"/>
  <c r="L638" i="1"/>
  <c r="N638" i="1" s="1"/>
  <c r="K638" i="1"/>
  <c r="J638" i="1"/>
  <c r="H638" i="1"/>
  <c r="J637" i="1"/>
  <c r="H637" i="1"/>
  <c r="I636" i="1"/>
  <c r="H636" i="1"/>
  <c r="H633" i="1"/>
  <c r="H632" i="1"/>
  <c r="H631" i="1"/>
  <c r="H630" i="1"/>
  <c r="H629" i="1"/>
  <c r="H628" i="1"/>
  <c r="H627" i="1"/>
  <c r="Q626" i="1"/>
  <c r="J626" i="1"/>
  <c r="I626" i="1"/>
  <c r="H626" i="1"/>
  <c r="Q625" i="1"/>
  <c r="J625" i="1"/>
  <c r="I625" i="1"/>
  <c r="H625" i="1"/>
  <c r="I624" i="1"/>
  <c r="H624" i="1"/>
  <c r="H621" i="1"/>
  <c r="H620" i="1"/>
  <c r="H619" i="1"/>
  <c r="H618" i="1"/>
  <c r="H617" i="1"/>
  <c r="H616" i="1"/>
  <c r="H615" i="1"/>
  <c r="H614" i="1"/>
  <c r="L613" i="1"/>
  <c r="N613" i="1" s="1"/>
  <c r="K613" i="1"/>
  <c r="J613" i="1"/>
  <c r="I613" i="1"/>
  <c r="Q613" i="1" s="1"/>
  <c r="H613" i="1"/>
  <c r="L612" i="1"/>
  <c r="N612" i="1" s="1"/>
  <c r="K612" i="1"/>
  <c r="J612" i="1"/>
  <c r="I612" i="1"/>
  <c r="Q612" i="1" s="1"/>
  <c r="H612" i="1"/>
  <c r="H611" i="1"/>
  <c r="I609" i="1"/>
  <c r="H605" i="1"/>
  <c r="H604" i="1"/>
  <c r="H603" i="1"/>
  <c r="H601" i="1"/>
  <c r="H600" i="1"/>
  <c r="L599" i="1"/>
  <c r="N599" i="1" s="1"/>
  <c r="K599" i="1"/>
  <c r="J599" i="1"/>
  <c r="I599" i="1"/>
  <c r="Q599" i="1" s="1"/>
  <c r="H599" i="1"/>
  <c r="L598" i="1"/>
  <c r="N598" i="1" s="1"/>
  <c r="K598" i="1"/>
  <c r="J598" i="1"/>
  <c r="I598" i="1"/>
  <c r="Q598" i="1" s="1"/>
  <c r="H598" i="1"/>
  <c r="H597" i="1"/>
  <c r="I595" i="1"/>
  <c r="H593" i="1"/>
  <c r="H592" i="1"/>
  <c r="I591" i="1"/>
  <c r="H591" i="1"/>
  <c r="H589" i="1"/>
  <c r="H588" i="1"/>
  <c r="H587" i="1"/>
  <c r="H586" i="1"/>
  <c r="H585" i="1"/>
  <c r="H584" i="1"/>
  <c r="H583" i="1"/>
  <c r="H582" i="1"/>
  <c r="Q581" i="1"/>
  <c r="K581" i="1"/>
  <c r="J581" i="1"/>
  <c r="L581" i="1" s="1"/>
  <c r="I581" i="1"/>
  <c r="H581" i="1"/>
  <c r="Q580" i="1"/>
  <c r="K580" i="1"/>
  <c r="J580" i="1"/>
  <c r="L580" i="1" s="1"/>
  <c r="I580" i="1"/>
  <c r="H580" i="1"/>
  <c r="I579" i="1"/>
  <c r="H579" i="1"/>
  <c r="H578" i="1"/>
  <c r="H577" i="1"/>
  <c r="H576" i="1"/>
  <c r="H575" i="1"/>
  <c r="H574" i="1"/>
  <c r="H573" i="1"/>
  <c r="I572" i="1"/>
  <c r="H572" i="1"/>
  <c r="H571" i="1"/>
  <c r="I569" i="1"/>
  <c r="I567" i="1"/>
  <c r="H565" i="1"/>
  <c r="H564" i="1"/>
  <c r="H563" i="1"/>
  <c r="H562" i="1"/>
  <c r="I561" i="1"/>
  <c r="H561" i="1"/>
  <c r="I560" i="1"/>
  <c r="H560" i="1"/>
  <c r="H559" i="1"/>
  <c r="I558" i="1"/>
  <c r="H558" i="1"/>
  <c r="I556" i="1"/>
  <c r="H555" i="1"/>
  <c r="I554" i="1"/>
  <c r="H554" i="1"/>
  <c r="I552" i="1"/>
  <c r="I550" i="1"/>
  <c r="I547" i="1"/>
  <c r="I545" i="1"/>
  <c r="H543" i="1"/>
  <c r="H542" i="1"/>
  <c r="H540" i="1"/>
  <c r="H539" i="1"/>
  <c r="J538" i="1"/>
  <c r="K538" i="1" s="1"/>
  <c r="L538" i="1" s="1"/>
  <c r="H538" i="1"/>
  <c r="J537" i="1"/>
  <c r="H537" i="1"/>
  <c r="I536" i="1"/>
  <c r="I523" i="1" s="1"/>
  <c r="H536" i="1"/>
  <c r="I534" i="1"/>
  <c r="I532" i="1"/>
  <c r="H528" i="1"/>
  <c r="H527" i="1"/>
  <c r="K526" i="1"/>
  <c r="L526" i="1" s="1"/>
  <c r="J526" i="1"/>
  <c r="H526" i="1"/>
  <c r="J525" i="1"/>
  <c r="K525" i="1" s="1"/>
  <c r="L525" i="1" s="1"/>
  <c r="H525" i="1"/>
  <c r="I524" i="1"/>
  <c r="H524" i="1"/>
  <c r="H523" i="1"/>
  <c r="H522" i="1"/>
  <c r="H521" i="1"/>
  <c r="H520" i="1"/>
  <c r="H519" i="1"/>
  <c r="I518" i="1"/>
  <c r="H518" i="1"/>
  <c r="Q505" i="1"/>
  <c r="I505" i="1"/>
  <c r="Q504" i="1"/>
  <c r="I504" i="1"/>
  <c r="I503" i="1"/>
  <c r="I491" i="1"/>
  <c r="Q491" i="1" s="1"/>
  <c r="I490" i="1"/>
  <c r="I489" i="1" s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K479" i="1"/>
  <c r="J479" i="1"/>
  <c r="L479" i="1" s="1"/>
  <c r="N479" i="1" s="1"/>
  <c r="H479" i="1"/>
  <c r="J478" i="1"/>
  <c r="H478" i="1"/>
  <c r="H477" i="1"/>
  <c r="T476" i="1"/>
  <c r="P476" i="1"/>
  <c r="O476" i="1"/>
  <c r="N476" i="1"/>
  <c r="M476" i="1"/>
  <c r="L476" i="1"/>
  <c r="K476" i="1"/>
  <c r="J476" i="1"/>
  <c r="I476" i="1"/>
  <c r="I474" i="1" s="1"/>
  <c r="Q475" i="1"/>
  <c r="R475" i="1" s="1"/>
  <c r="Q474" i="1"/>
  <c r="R474" i="1" s="1"/>
  <c r="T473" i="1"/>
  <c r="P473" i="1"/>
  <c r="O473" i="1"/>
  <c r="N473" i="1"/>
  <c r="M473" i="1"/>
  <c r="L473" i="1"/>
  <c r="K473" i="1"/>
  <c r="J473" i="1"/>
  <c r="Q472" i="1"/>
  <c r="R472" i="1" s="1"/>
  <c r="Q471" i="1"/>
  <c r="R471" i="1" s="1"/>
  <c r="I471" i="1"/>
  <c r="T470" i="1"/>
  <c r="P470" i="1"/>
  <c r="O470" i="1"/>
  <c r="N470" i="1"/>
  <c r="M470" i="1"/>
  <c r="L470" i="1"/>
  <c r="K470" i="1"/>
  <c r="J470" i="1"/>
  <c r="Q469" i="1"/>
  <c r="R469" i="1" s="1"/>
  <c r="Q468" i="1"/>
  <c r="R468" i="1" s="1"/>
  <c r="I468" i="1"/>
  <c r="T467" i="1"/>
  <c r="P467" i="1"/>
  <c r="Q467" i="1" s="1"/>
  <c r="O467" i="1"/>
  <c r="N467" i="1"/>
  <c r="M467" i="1"/>
  <c r="L467" i="1"/>
  <c r="K467" i="1"/>
  <c r="J467" i="1"/>
  <c r="Q466" i="1"/>
  <c r="Q465" i="1"/>
  <c r="R465" i="1" s="1"/>
  <c r="I465" i="1"/>
  <c r="T464" i="1"/>
  <c r="P464" i="1"/>
  <c r="O464" i="1"/>
  <c r="N464" i="1"/>
  <c r="M464" i="1"/>
  <c r="L464" i="1"/>
  <c r="K464" i="1"/>
  <c r="J464" i="1"/>
  <c r="Q463" i="1"/>
  <c r="R463" i="1" s="1"/>
  <c r="Q462" i="1"/>
  <c r="R462" i="1" s="1"/>
  <c r="I462" i="1"/>
  <c r="T461" i="1"/>
  <c r="P461" i="1"/>
  <c r="O461" i="1"/>
  <c r="N461" i="1"/>
  <c r="M461" i="1"/>
  <c r="L461" i="1"/>
  <c r="K461" i="1"/>
  <c r="J461" i="1"/>
  <c r="Q460" i="1"/>
  <c r="R460" i="1" s="1"/>
  <c r="Q459" i="1"/>
  <c r="R459" i="1" s="1"/>
  <c r="I459" i="1"/>
  <c r="T458" i="1"/>
  <c r="P458" i="1"/>
  <c r="O458" i="1"/>
  <c r="N458" i="1"/>
  <c r="M458" i="1"/>
  <c r="L458" i="1"/>
  <c r="K458" i="1"/>
  <c r="J458" i="1"/>
  <c r="Q457" i="1"/>
  <c r="R457" i="1" s="1"/>
  <c r="Q456" i="1"/>
  <c r="R456" i="1" s="1"/>
  <c r="I456" i="1"/>
  <c r="T455" i="1"/>
  <c r="P455" i="1"/>
  <c r="O455" i="1"/>
  <c r="N455" i="1"/>
  <c r="M455" i="1"/>
  <c r="L455" i="1"/>
  <c r="K455" i="1"/>
  <c r="J455" i="1"/>
  <c r="Q454" i="1"/>
  <c r="R454" i="1" s="1"/>
  <c r="Q453" i="1"/>
  <c r="R453" i="1" s="1"/>
  <c r="I453" i="1"/>
  <c r="T452" i="1"/>
  <c r="P452" i="1"/>
  <c r="O452" i="1"/>
  <c r="N452" i="1"/>
  <c r="M452" i="1"/>
  <c r="L452" i="1"/>
  <c r="K452" i="1"/>
  <c r="J452" i="1"/>
  <c r="Q451" i="1"/>
  <c r="R451" i="1" s="1"/>
  <c r="Q450" i="1"/>
  <c r="R450" i="1" s="1"/>
  <c r="I450" i="1"/>
  <c r="T449" i="1"/>
  <c r="P449" i="1"/>
  <c r="Q449" i="1" s="1"/>
  <c r="O449" i="1"/>
  <c r="N449" i="1"/>
  <c r="M449" i="1"/>
  <c r="L449" i="1"/>
  <c r="K449" i="1"/>
  <c r="J449" i="1"/>
  <c r="Q448" i="1"/>
  <c r="R448" i="1" s="1"/>
  <c r="Q447" i="1"/>
  <c r="R447" i="1" s="1"/>
  <c r="I447" i="1"/>
  <c r="T446" i="1"/>
  <c r="P446" i="1"/>
  <c r="Q446" i="1" s="1"/>
  <c r="O446" i="1"/>
  <c r="N446" i="1"/>
  <c r="M446" i="1"/>
  <c r="L446" i="1"/>
  <c r="K446" i="1"/>
  <c r="J446" i="1"/>
  <c r="Q445" i="1"/>
  <c r="R445" i="1" s="1"/>
  <c r="I444" i="1"/>
  <c r="H443" i="1"/>
  <c r="H442" i="1"/>
  <c r="P441" i="1"/>
  <c r="O441" i="1"/>
  <c r="I441" i="1"/>
  <c r="H441" i="1"/>
  <c r="H440" i="1"/>
  <c r="J438" i="1"/>
  <c r="J437" i="1"/>
  <c r="J436" i="1"/>
  <c r="J435" i="1"/>
  <c r="J434" i="1"/>
  <c r="J433" i="1"/>
  <c r="J432" i="1"/>
  <c r="J431" i="1"/>
  <c r="Q430" i="1"/>
  <c r="J430" i="1"/>
  <c r="J429" i="1"/>
  <c r="J428" i="1"/>
  <c r="O427" i="1"/>
  <c r="J427" i="1"/>
  <c r="I427" i="1"/>
  <c r="Q427" i="1" s="1"/>
  <c r="O426" i="1"/>
  <c r="J426" i="1"/>
  <c r="I426" i="1"/>
  <c r="J425" i="1"/>
  <c r="J423" i="1"/>
  <c r="J422" i="1"/>
  <c r="J421" i="1"/>
  <c r="J420" i="1"/>
  <c r="J419" i="1"/>
  <c r="J418" i="1"/>
  <c r="J417" i="1"/>
  <c r="J416" i="1"/>
  <c r="Q415" i="1"/>
  <c r="J415" i="1"/>
  <c r="J414" i="1"/>
  <c r="J413" i="1"/>
  <c r="O412" i="1"/>
  <c r="J412" i="1"/>
  <c r="I412" i="1"/>
  <c r="Q412" i="1" s="1"/>
  <c r="O411" i="1"/>
  <c r="J411" i="1"/>
  <c r="I411" i="1"/>
  <c r="I410" i="1" s="1"/>
  <c r="J410" i="1"/>
  <c r="J408" i="1"/>
  <c r="J407" i="1"/>
  <c r="J406" i="1"/>
  <c r="J405" i="1"/>
  <c r="J404" i="1"/>
  <c r="J403" i="1"/>
  <c r="J402" i="1"/>
  <c r="J401" i="1"/>
  <c r="Q400" i="1"/>
  <c r="J400" i="1"/>
  <c r="J399" i="1"/>
  <c r="J398" i="1"/>
  <c r="O397" i="1"/>
  <c r="J397" i="1"/>
  <c r="I397" i="1"/>
  <c r="Q397" i="1" s="1"/>
  <c r="Q396" i="1"/>
  <c r="O396" i="1"/>
  <c r="J396" i="1"/>
  <c r="I396" i="1"/>
  <c r="J395" i="1"/>
  <c r="J394" i="1"/>
  <c r="J393" i="1"/>
  <c r="J392" i="1"/>
  <c r="J391" i="1"/>
  <c r="J390" i="1"/>
  <c r="J389" i="1"/>
  <c r="J388" i="1"/>
  <c r="J387" i="1"/>
  <c r="Q385" i="1"/>
  <c r="J385" i="1"/>
  <c r="J384" i="1"/>
  <c r="J383" i="1"/>
  <c r="O380" i="1"/>
  <c r="J380" i="1"/>
  <c r="I380" i="1"/>
  <c r="Q380" i="1" s="1"/>
  <c r="O379" i="1"/>
  <c r="J379" i="1"/>
  <c r="I379" i="1"/>
  <c r="Q379" i="1" s="1"/>
  <c r="J378" i="1"/>
  <c r="J376" i="1"/>
  <c r="J375" i="1"/>
  <c r="J374" i="1"/>
  <c r="J373" i="1"/>
  <c r="J372" i="1"/>
  <c r="J371" i="1"/>
  <c r="J370" i="1"/>
  <c r="J369" i="1"/>
  <c r="Q368" i="1"/>
  <c r="J368" i="1"/>
  <c r="J367" i="1"/>
  <c r="J366" i="1"/>
  <c r="O365" i="1"/>
  <c r="J365" i="1"/>
  <c r="I365" i="1"/>
  <c r="Q365" i="1" s="1"/>
  <c r="O364" i="1"/>
  <c r="J364" i="1"/>
  <c r="I364" i="1"/>
  <c r="J363" i="1"/>
  <c r="J361" i="1"/>
  <c r="J360" i="1"/>
  <c r="J359" i="1"/>
  <c r="J358" i="1"/>
  <c r="J357" i="1"/>
  <c r="J356" i="1"/>
  <c r="J355" i="1"/>
  <c r="J354" i="1"/>
  <c r="Q353" i="1"/>
  <c r="J353" i="1"/>
  <c r="J352" i="1"/>
  <c r="J351" i="1"/>
  <c r="O350" i="1"/>
  <c r="J350" i="1"/>
  <c r="I350" i="1"/>
  <c r="Q350" i="1" s="1"/>
  <c r="O349" i="1"/>
  <c r="J349" i="1"/>
  <c r="I349" i="1"/>
  <c r="J348" i="1"/>
  <c r="Q338" i="1"/>
  <c r="Q335" i="1"/>
  <c r="O335" i="1"/>
  <c r="I335" i="1"/>
  <c r="O334" i="1"/>
  <c r="I334" i="1"/>
  <c r="J333" i="1"/>
  <c r="J331" i="1"/>
  <c r="J330" i="1"/>
  <c r="J329" i="1"/>
  <c r="J328" i="1"/>
  <c r="J327" i="1"/>
  <c r="J326" i="1"/>
  <c r="J325" i="1"/>
  <c r="J324" i="1"/>
  <c r="Q323" i="1"/>
  <c r="J323" i="1"/>
  <c r="J322" i="1"/>
  <c r="J321" i="1"/>
  <c r="Q320" i="1"/>
  <c r="O320" i="1"/>
  <c r="J320" i="1"/>
  <c r="I320" i="1"/>
  <c r="O319" i="1"/>
  <c r="J319" i="1"/>
  <c r="I319" i="1"/>
  <c r="I318" i="1" s="1"/>
  <c r="J318" i="1"/>
  <c r="J316" i="1"/>
  <c r="J315" i="1"/>
  <c r="J314" i="1"/>
  <c r="J313" i="1"/>
  <c r="J312" i="1"/>
  <c r="J311" i="1"/>
  <c r="J310" i="1"/>
  <c r="J309" i="1"/>
  <c r="Q308" i="1"/>
  <c r="J308" i="1"/>
  <c r="J307" i="1"/>
  <c r="J306" i="1"/>
  <c r="O305" i="1"/>
  <c r="J305" i="1"/>
  <c r="I305" i="1"/>
  <c r="Q305" i="1" s="1"/>
  <c r="O304" i="1"/>
  <c r="J304" i="1"/>
  <c r="I304" i="1"/>
  <c r="Q304" i="1" s="1"/>
  <c r="J303" i="1"/>
  <c r="J301" i="1"/>
  <c r="J300" i="1"/>
  <c r="J299" i="1"/>
  <c r="J298" i="1"/>
  <c r="J297" i="1"/>
  <c r="J296" i="1"/>
  <c r="J295" i="1"/>
  <c r="J294" i="1"/>
  <c r="Q293" i="1"/>
  <c r="J293" i="1"/>
  <c r="J292" i="1"/>
  <c r="J291" i="1"/>
  <c r="Q290" i="1"/>
  <c r="O290" i="1"/>
  <c r="J290" i="1"/>
  <c r="I290" i="1"/>
  <c r="O289" i="1"/>
  <c r="J289" i="1"/>
  <c r="I289" i="1"/>
  <c r="J288" i="1"/>
  <c r="J286" i="1"/>
  <c r="J285" i="1"/>
  <c r="J284" i="1"/>
  <c r="J283" i="1"/>
  <c r="J282" i="1"/>
  <c r="J281" i="1"/>
  <c r="Q279" i="1"/>
  <c r="J279" i="1"/>
  <c r="Q278" i="1"/>
  <c r="J278" i="1"/>
  <c r="J276" i="1"/>
  <c r="I276" i="1"/>
  <c r="J275" i="1"/>
  <c r="I275" i="1"/>
  <c r="J274" i="1"/>
  <c r="I273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N260" i="1"/>
  <c r="M260" i="1"/>
  <c r="L260" i="1"/>
  <c r="K260" i="1"/>
  <c r="H260" i="1"/>
  <c r="N259" i="1"/>
  <c r="M259" i="1"/>
  <c r="L259" i="1"/>
  <c r="K259" i="1"/>
  <c r="H259" i="1"/>
  <c r="L258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J246" i="1"/>
  <c r="H246" i="1"/>
  <c r="J245" i="1"/>
  <c r="H245" i="1"/>
  <c r="H244" i="1" s="1"/>
  <c r="I244" i="1"/>
  <c r="G244" i="1"/>
  <c r="E244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K230" i="1"/>
  <c r="L230" i="1" s="1"/>
  <c r="J230" i="1"/>
  <c r="I230" i="1"/>
  <c r="H230" i="1"/>
  <c r="K229" i="1"/>
  <c r="L229" i="1" s="1"/>
  <c r="J229" i="1"/>
  <c r="I229" i="1"/>
  <c r="I228" i="1" s="1"/>
  <c r="H229" i="1"/>
  <c r="H228" i="1" s="1"/>
  <c r="G228" i="1"/>
  <c r="E228" i="1"/>
  <c r="H227" i="1"/>
  <c r="H226" i="1"/>
  <c r="H225" i="1"/>
  <c r="H224" i="1"/>
  <c r="H223" i="1"/>
  <c r="H222" i="1"/>
  <c r="H221" i="1"/>
  <c r="H220" i="1"/>
  <c r="H219" i="1"/>
  <c r="H218" i="1"/>
  <c r="H217" i="1"/>
  <c r="J216" i="1"/>
  <c r="K216" i="1" s="1"/>
  <c r="L216" i="1" s="1"/>
  <c r="N216" i="1" s="1"/>
  <c r="Q216" i="1" s="1"/>
  <c r="I216" i="1"/>
  <c r="H216" i="1"/>
  <c r="J215" i="1"/>
  <c r="K215" i="1" s="1"/>
  <c r="L215" i="1" s="1"/>
  <c r="N215" i="1" s="1"/>
  <c r="Q215" i="1" s="1"/>
  <c r="I215" i="1"/>
  <c r="M215" i="1" s="1"/>
  <c r="H215" i="1"/>
  <c r="H214" i="1" s="1"/>
  <c r="I214" i="1"/>
  <c r="G214" i="1"/>
  <c r="E214" i="1"/>
  <c r="H213" i="1"/>
  <c r="H212" i="1"/>
  <c r="H211" i="1"/>
  <c r="H210" i="1"/>
  <c r="H209" i="1"/>
  <c r="H208" i="1"/>
  <c r="H207" i="1"/>
  <c r="H206" i="1"/>
  <c r="H205" i="1"/>
  <c r="H204" i="1"/>
  <c r="H203" i="1"/>
  <c r="I202" i="1"/>
  <c r="H202" i="1"/>
  <c r="E202" i="1"/>
  <c r="J202" i="1" s="1"/>
  <c r="I201" i="1"/>
  <c r="I200" i="1" s="1"/>
  <c r="H201" i="1"/>
  <c r="H200" i="1" s="1"/>
  <c r="E201" i="1"/>
  <c r="E200" i="1" s="1"/>
  <c r="G200" i="1"/>
  <c r="H199" i="1"/>
  <c r="H198" i="1"/>
  <c r="H197" i="1"/>
  <c r="H196" i="1"/>
  <c r="H195" i="1"/>
  <c r="H194" i="1"/>
  <c r="H193" i="1"/>
  <c r="H192" i="1"/>
  <c r="H191" i="1"/>
  <c r="H190" i="1"/>
  <c r="H189" i="1"/>
  <c r="K188" i="1"/>
  <c r="J188" i="1"/>
  <c r="L188" i="1" s="1"/>
  <c r="H188" i="1"/>
  <c r="L187" i="1"/>
  <c r="N187" i="1" s="1"/>
  <c r="K187" i="1"/>
  <c r="J187" i="1"/>
  <c r="H187" i="1"/>
  <c r="H186" i="1" s="1"/>
  <c r="I186" i="1"/>
  <c r="G186" i="1"/>
  <c r="E186" i="1"/>
  <c r="H185" i="1"/>
  <c r="H184" i="1"/>
  <c r="H183" i="1"/>
  <c r="H182" i="1"/>
  <c r="H181" i="1"/>
  <c r="H180" i="1"/>
  <c r="H179" i="1"/>
  <c r="H178" i="1"/>
  <c r="H177" i="1"/>
  <c r="H176" i="1"/>
  <c r="H175" i="1"/>
  <c r="I174" i="1"/>
  <c r="H174" i="1"/>
  <c r="E174" i="1"/>
  <c r="J174" i="1" s="1"/>
  <c r="I173" i="1"/>
  <c r="H173" i="1"/>
  <c r="H172" i="1" s="1"/>
  <c r="E173" i="1"/>
  <c r="J173" i="1" s="1"/>
  <c r="I172" i="1"/>
  <c r="G172" i="1"/>
  <c r="H171" i="1"/>
  <c r="H170" i="1"/>
  <c r="H169" i="1"/>
  <c r="H168" i="1"/>
  <c r="H167" i="1"/>
  <c r="H166" i="1"/>
  <c r="H165" i="1"/>
  <c r="H164" i="1"/>
  <c r="H163" i="1"/>
  <c r="H162" i="1"/>
  <c r="H161" i="1"/>
  <c r="K160" i="1"/>
  <c r="L160" i="1" s="1"/>
  <c r="N160" i="1" s="1"/>
  <c r="Q160" i="1" s="1"/>
  <c r="J160" i="1"/>
  <c r="I160" i="1"/>
  <c r="H160" i="1"/>
  <c r="K159" i="1"/>
  <c r="L159" i="1" s="1"/>
  <c r="N159" i="1" s="1"/>
  <c r="Q159" i="1" s="1"/>
  <c r="J159" i="1"/>
  <c r="I159" i="1"/>
  <c r="I158" i="1" s="1"/>
  <c r="H159" i="1"/>
  <c r="H158" i="1" s="1"/>
  <c r="G158" i="1"/>
  <c r="E158" i="1"/>
  <c r="H157" i="1"/>
  <c r="H156" i="1"/>
  <c r="H155" i="1"/>
  <c r="H154" i="1"/>
  <c r="H153" i="1"/>
  <c r="H152" i="1"/>
  <c r="H151" i="1"/>
  <c r="H150" i="1"/>
  <c r="H149" i="1"/>
  <c r="H148" i="1"/>
  <c r="H147" i="1"/>
  <c r="I146" i="1"/>
  <c r="H146" i="1"/>
  <c r="E146" i="1"/>
  <c r="J146" i="1" s="1"/>
  <c r="K145" i="1"/>
  <c r="L145" i="1" s="1"/>
  <c r="J145" i="1"/>
  <c r="I145" i="1"/>
  <c r="H145" i="1"/>
  <c r="H144" i="1" s="1"/>
  <c r="E145" i="1"/>
  <c r="I144" i="1"/>
  <c r="G144" i="1"/>
  <c r="H143" i="1"/>
  <c r="H142" i="1"/>
  <c r="H141" i="1"/>
  <c r="H140" i="1"/>
  <c r="H139" i="1"/>
  <c r="H138" i="1"/>
  <c r="H137" i="1"/>
  <c r="H136" i="1"/>
  <c r="H135" i="1"/>
  <c r="H134" i="1"/>
  <c r="H133" i="1"/>
  <c r="K132" i="1"/>
  <c r="L132" i="1" s="1"/>
  <c r="N132" i="1" s="1"/>
  <c r="Q132" i="1" s="1"/>
  <c r="J132" i="1"/>
  <c r="I132" i="1"/>
  <c r="H132" i="1"/>
  <c r="K131" i="1"/>
  <c r="L131" i="1" s="1"/>
  <c r="N131" i="1" s="1"/>
  <c r="Q131" i="1" s="1"/>
  <c r="J131" i="1"/>
  <c r="I131" i="1"/>
  <c r="M131" i="1" s="1"/>
  <c r="H131" i="1"/>
  <c r="H130" i="1" s="1"/>
  <c r="I130" i="1"/>
  <c r="G130" i="1"/>
  <c r="E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K117" i="1"/>
  <c r="L117" i="1" s="1"/>
  <c r="J117" i="1"/>
  <c r="I117" i="1"/>
  <c r="H117" i="1"/>
  <c r="K116" i="1"/>
  <c r="L116" i="1" s="1"/>
  <c r="J116" i="1"/>
  <c r="I116" i="1"/>
  <c r="H116" i="1"/>
  <c r="H115" i="1" s="1"/>
  <c r="I115" i="1"/>
  <c r="G115" i="1"/>
  <c r="E115" i="1"/>
  <c r="H114" i="1"/>
  <c r="H113" i="1"/>
  <c r="H112" i="1"/>
  <c r="H111" i="1"/>
  <c r="H110" i="1"/>
  <c r="H109" i="1"/>
  <c r="H108" i="1"/>
  <c r="H107" i="1"/>
  <c r="H106" i="1"/>
  <c r="H105" i="1"/>
  <c r="H104" i="1"/>
  <c r="I103" i="1"/>
  <c r="H103" i="1"/>
  <c r="E103" i="1"/>
  <c r="J103" i="1" s="1"/>
  <c r="I102" i="1"/>
  <c r="H102" i="1"/>
  <c r="E102" i="1"/>
  <c r="J102" i="1" s="1"/>
  <c r="R101" i="1"/>
  <c r="I101" i="1"/>
  <c r="G101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H85" i="1"/>
  <c r="H84" i="1"/>
  <c r="H83" i="1"/>
  <c r="H82" i="1"/>
  <c r="H81" i="1"/>
  <c r="I80" i="1"/>
  <c r="H80" i="1"/>
  <c r="H79" i="1"/>
  <c r="H77" i="1"/>
  <c r="I76" i="1"/>
  <c r="H76" i="1"/>
  <c r="H75" i="1"/>
  <c r="I74" i="1"/>
  <c r="H74" i="1"/>
  <c r="H73" i="1"/>
  <c r="I72" i="1"/>
  <c r="H72" i="1"/>
  <c r="H71" i="1"/>
  <c r="I70" i="1"/>
  <c r="H70" i="1"/>
  <c r="I67" i="1"/>
  <c r="I65" i="1"/>
  <c r="I63" i="1"/>
  <c r="H61" i="1"/>
  <c r="I60" i="1"/>
  <c r="H60" i="1"/>
  <c r="I59" i="1"/>
  <c r="I678" i="1" s="1"/>
  <c r="I58" i="1"/>
  <c r="H55" i="1"/>
  <c r="I54" i="1"/>
  <c r="H54" i="1"/>
  <c r="H52" i="1"/>
  <c r="I51" i="1"/>
  <c r="H51" i="1"/>
  <c r="H48" i="1"/>
  <c r="H47" i="1"/>
  <c r="I46" i="1"/>
  <c r="I8" i="1" s="1"/>
  <c r="I673" i="1" s="1"/>
  <c r="H46" i="1"/>
  <c r="H45" i="1"/>
  <c r="I44" i="1"/>
  <c r="H44" i="1"/>
  <c r="H42" i="1"/>
  <c r="I41" i="1"/>
  <c r="H41" i="1"/>
  <c r="I38" i="1"/>
  <c r="H38" i="1"/>
  <c r="I37" i="1"/>
  <c r="H37" i="1"/>
  <c r="H36" i="1"/>
  <c r="I35" i="1"/>
  <c r="H35" i="1"/>
  <c r="I33" i="1"/>
  <c r="H32" i="1"/>
  <c r="I31" i="1"/>
  <c r="H31" i="1"/>
  <c r="H29" i="1"/>
  <c r="H28" i="1"/>
  <c r="H27" i="1"/>
  <c r="H26" i="1"/>
  <c r="H24" i="1"/>
  <c r="I23" i="1"/>
  <c r="H23" i="1"/>
  <c r="H21" i="1"/>
  <c r="H20" i="1"/>
  <c r="H19" i="1"/>
  <c r="H18" i="1"/>
  <c r="H17" i="1"/>
  <c r="H16" i="1"/>
  <c r="H15" i="1"/>
  <c r="H14" i="1"/>
  <c r="H13" i="1"/>
  <c r="H12" i="1"/>
  <c r="H11" i="1"/>
  <c r="H10" i="1"/>
  <c r="I9" i="1"/>
  <c r="H9" i="1"/>
  <c r="H8" i="1"/>
  <c r="O442" i="1" l="1"/>
  <c r="O440" i="1" s="1"/>
  <c r="I442" i="1"/>
  <c r="I440" i="1" s="1"/>
  <c r="I79" i="1" s="1"/>
  <c r="Q470" i="1"/>
  <c r="R470" i="1" s="1"/>
  <c r="Q461" i="1"/>
  <c r="R461" i="1" s="1"/>
  <c r="Q452" i="1"/>
  <c r="R452" i="1" s="1"/>
  <c r="R449" i="1"/>
  <c r="Q458" i="1"/>
  <c r="R458" i="1" s="1"/>
  <c r="I274" i="1"/>
  <c r="I259" i="1"/>
  <c r="R279" i="1"/>
  <c r="I288" i="1"/>
  <c r="M258" i="1"/>
  <c r="J259" i="1"/>
  <c r="J258" i="1" s="1"/>
  <c r="Q275" i="1"/>
  <c r="Q276" i="1"/>
  <c r="I260" i="1"/>
  <c r="I395" i="1"/>
  <c r="Q289" i="1"/>
  <c r="Q319" i="1"/>
  <c r="J260" i="1"/>
  <c r="I348" i="1"/>
  <c r="K258" i="1"/>
  <c r="N258" i="1"/>
  <c r="I333" i="1"/>
  <c r="I363" i="1"/>
  <c r="I425" i="1"/>
  <c r="H101" i="1"/>
  <c r="I85" i="1"/>
  <c r="N145" i="1"/>
  <c r="Q145" i="1" s="1"/>
  <c r="M145" i="1"/>
  <c r="K202" i="1"/>
  <c r="L202" i="1" s="1"/>
  <c r="L146" i="1"/>
  <c r="K146" i="1"/>
  <c r="K174" i="1"/>
  <c r="L174" i="1" s="1"/>
  <c r="L478" i="1"/>
  <c r="N478" i="1" s="1"/>
  <c r="M526" i="1"/>
  <c r="N526" i="1"/>
  <c r="N580" i="1"/>
  <c r="M580" i="1"/>
  <c r="N116" i="1"/>
  <c r="Q116" i="1" s="1"/>
  <c r="M116" i="1"/>
  <c r="M230" i="1"/>
  <c r="N230" i="1"/>
  <c r="Q230" i="1" s="1"/>
  <c r="R446" i="1"/>
  <c r="N538" i="1"/>
  <c r="M538" i="1"/>
  <c r="L643" i="1"/>
  <c r="K102" i="1"/>
  <c r="L102" i="1" s="1"/>
  <c r="M132" i="1"/>
  <c r="L245" i="1"/>
  <c r="R441" i="1"/>
  <c r="M216" i="1"/>
  <c r="M160" i="1"/>
  <c r="K173" i="1"/>
  <c r="L173" i="1" s="1"/>
  <c r="L246" i="1"/>
  <c r="N525" i="1"/>
  <c r="M525" i="1"/>
  <c r="K103" i="1"/>
  <c r="L103" i="1" s="1"/>
  <c r="N117" i="1"/>
  <c r="Q117" i="1" s="1"/>
  <c r="M117" i="1"/>
  <c r="N188" i="1"/>
  <c r="M188" i="1"/>
  <c r="M229" i="1"/>
  <c r="N229" i="1"/>
  <c r="Q229" i="1" s="1"/>
  <c r="N581" i="1"/>
  <c r="M581" i="1"/>
  <c r="L637" i="1"/>
  <c r="I303" i="1"/>
  <c r="Q334" i="1"/>
  <c r="Q364" i="1"/>
  <c r="Q426" i="1"/>
  <c r="P442" i="1"/>
  <c r="P440" i="1" s="1"/>
  <c r="Q464" i="1"/>
  <c r="R464" i="1" s="1"/>
  <c r="I479" i="1"/>
  <c r="M479" i="1" s="1"/>
  <c r="J490" i="1"/>
  <c r="K537" i="1"/>
  <c r="L537" i="1" s="1"/>
  <c r="E101" i="1"/>
  <c r="I378" i="1"/>
  <c r="I478" i="1"/>
  <c r="Q490" i="1"/>
  <c r="E144" i="1"/>
  <c r="E172" i="1"/>
  <c r="Q349" i="1"/>
  <c r="Q411" i="1"/>
  <c r="M187" i="1"/>
  <c r="K246" i="1"/>
  <c r="Q441" i="1"/>
  <c r="Q455" i="1"/>
  <c r="Q473" i="1"/>
  <c r="R473" i="1" s="1"/>
  <c r="Q476" i="1"/>
  <c r="R476" i="1" s="1"/>
  <c r="K478" i="1"/>
  <c r="J491" i="1"/>
  <c r="M598" i="1"/>
  <c r="M599" i="1"/>
  <c r="M612" i="1"/>
  <c r="M613" i="1"/>
  <c r="K625" i="1"/>
  <c r="L625" i="1" s="1"/>
  <c r="K626" i="1"/>
  <c r="L626" i="1" s="1"/>
  <c r="K637" i="1"/>
  <c r="M638" i="1"/>
  <c r="K644" i="1"/>
  <c r="L644" i="1" s="1"/>
  <c r="M159" i="1"/>
  <c r="K245" i="1"/>
  <c r="J201" i="1"/>
  <c r="I597" i="1"/>
  <c r="I611" i="1"/>
  <c r="K643" i="1"/>
  <c r="Q442" i="1" l="1"/>
  <c r="N537" i="1"/>
  <c r="M537" i="1"/>
  <c r="N202" i="1"/>
  <c r="Q202" i="1" s="1"/>
  <c r="M202" i="1"/>
  <c r="N626" i="1"/>
  <c r="M626" i="1"/>
  <c r="N173" i="1"/>
  <c r="Q173" i="1" s="1"/>
  <c r="M173" i="1"/>
  <c r="N625" i="1"/>
  <c r="M625" i="1"/>
  <c r="N644" i="1"/>
  <c r="M644" i="1"/>
  <c r="N174" i="1"/>
  <c r="Q174" i="1" s="1"/>
  <c r="M174" i="1"/>
  <c r="N102" i="1"/>
  <c r="Q102" i="1" s="1"/>
  <c r="M102" i="1"/>
  <c r="M245" i="1"/>
  <c r="N245" i="1"/>
  <c r="Q245" i="1" s="1"/>
  <c r="K201" i="1"/>
  <c r="L201" i="1"/>
  <c r="R455" i="1"/>
  <c r="R442" i="1" s="1"/>
  <c r="R440" i="1" s="1"/>
  <c r="I258" i="1"/>
  <c r="N637" i="1"/>
  <c r="M637" i="1"/>
  <c r="M478" i="1"/>
  <c r="I477" i="1"/>
  <c r="M643" i="1"/>
  <c r="N643" i="1"/>
  <c r="I571" i="1"/>
  <c r="N246" i="1"/>
  <c r="Q246" i="1" s="1"/>
  <c r="M246" i="1"/>
  <c r="Q440" i="1"/>
  <c r="N103" i="1"/>
  <c r="Q103" i="1" s="1"/>
  <c r="M103" i="1"/>
  <c r="N146" i="1"/>
  <c r="Q146" i="1" s="1"/>
  <c r="M146" i="1"/>
  <c r="N201" i="1" l="1"/>
  <c r="Q201" i="1" s="1"/>
  <c r="M201" i="1"/>
</calcChain>
</file>

<file path=xl/sharedStrings.xml><?xml version="1.0" encoding="utf-8"?>
<sst xmlns="http://schemas.openxmlformats.org/spreadsheetml/2006/main" count="1218" uniqueCount="258">
  <si>
    <t>Видатки бюджету Боярської міської теритьоріальної громади на 2022 рік</t>
  </si>
  <si>
    <t>ПРОЕКТ</t>
  </si>
  <si>
    <t>грн.</t>
  </si>
  <si>
    <t>Код</t>
  </si>
  <si>
    <t>Найменування</t>
  </si>
  <si>
    <t>Річний план</t>
  </si>
  <si>
    <t>План за 9 місяців</t>
  </si>
  <si>
    <t>Фактичні видатки за  9 місяців</t>
  </si>
  <si>
    <t>факт за 12 міс</t>
  </si>
  <si>
    <t>бюджет 2022 згідно БЗ</t>
  </si>
  <si>
    <t>02</t>
  </si>
  <si>
    <t>Виконавчий комітет Боярської міської ради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</si>
  <si>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</si>
  <si>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</si>
  <si>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</si>
  <si>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</si>
  <si>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</si>
  <si>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</si>
  <si>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</si>
  <si>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</si>
  <si>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</si>
  <si>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</si>
  <si>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</si>
  <si>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Відрядження (запрошення виклики, відрядження делегацій)</t>
  </si>
  <si>
    <t>2271</t>
  </si>
  <si>
    <t xml:space="preserve">Оплата теплопостачання </t>
  </si>
  <si>
    <t>2272</t>
  </si>
  <si>
    <t xml:space="preserve">Оплата водопостачання </t>
  </si>
  <si>
    <t>2273</t>
  </si>
  <si>
    <t>Оплата електроенергії</t>
  </si>
  <si>
    <t>2274</t>
  </si>
  <si>
    <t>Оплата природного газу</t>
  </si>
  <si>
    <t>2275</t>
  </si>
  <si>
    <t>вугілля,вивіз сміття,вивізрідких нечистот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</si>
  <si>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</si>
  <si>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</si>
  <si>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</si>
  <si>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</si>
  <si>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Придбання обладнання і предметів довгострокового користування</t>
  </si>
  <si>
    <t>0210180</t>
  </si>
  <si>
    <t>Інша діяльність у сфері державного управління</t>
  </si>
  <si>
    <t>Програма розвитку туризму</t>
  </si>
  <si>
    <t>Програма «Бюджет участі на 2022 рік» Боярської міської територіальної громади</t>
  </si>
  <si>
    <t>Програма відзначення державних та професійних свят, ювелейних дат, вшанування та заохочення за заслуги</t>
  </si>
  <si>
    <t>2610</t>
  </si>
  <si>
    <t>Фінансова підтримкиа КП "Боярський інформаційний центр  "Інформаційна прозорість" на 2022 рік</t>
  </si>
  <si>
    <t>0212010</t>
  </si>
  <si>
    <t>Багатопрофільна стаціонарна медична допомога населенню</t>
  </si>
  <si>
    <t>0212100</t>
  </si>
  <si>
    <t>Стоматологічна допомога населенню</t>
  </si>
  <si>
    <t>Програма  розвитку, функціонування та підтримки (фінансової) комунального некомерційного підприємства «Стоматологічна поліклініка Боярської міської ради» на 2021-2025 роки</t>
  </si>
  <si>
    <t>Первинна медична допомога населенню, що надається центрами первинної медичної (медико-санітарної) допомоги</t>
  </si>
  <si>
    <t xml:space="preserve">Програма фінансової підтримки Комунального некомерційного підприємства «Центр первинної медико-санітарної допомоги Боярської міської ради»на 2021 рік
</t>
  </si>
  <si>
    <t>Програма розвитку, функціонування та підтримки(фінансоівої) комунального некомерційного підприємства "Лікарня інтенсивного лікування Бярської міської ради" на 2021-2025 роки</t>
  </si>
  <si>
    <t>енергоносії ?</t>
  </si>
  <si>
    <t>0212152</t>
  </si>
  <si>
    <t>Інші програми та заходи у сфері охорони здоров’я</t>
  </si>
  <si>
    <t>ліки, пункти невідкл допомги</t>
  </si>
  <si>
    <t>0216012</t>
  </si>
  <si>
    <t>Забезпечення діяльності з виробництва, транспортування, постачання теплової енергії</t>
  </si>
  <si>
    <t>Субсидії та поточні трансферти підприємствам (установам, організаціям)</t>
  </si>
  <si>
    <t>Капітальні трансферти підприємствам (установам, організаціям)</t>
  </si>
  <si>
    <t>0216013</t>
  </si>
  <si>
    <t>0216030</t>
  </si>
  <si>
    <t xml:space="preserve">Організація благоустрою населених пунктів    </t>
  </si>
  <si>
    <t xml:space="preserve">Оплата електроенергії </t>
  </si>
  <si>
    <t>КП БГВУЖКГПрограма благоустрою та утримання території  Боярської міської територіальної громади на 2022 рік -22610,0грн,Програма «Безбар’єрна міська територіальна громада" на 2022рік - 600,00грн, Програма «Безпечна Боярська міська територіальна громада» на 2022 рік -1000,00грн, Програми «Захист безпритульних тварин у Боярській міській  територіальній громаді» на 2022 рік - 300,00грн,Програма енергозбереження та енергоефективності Боярської міської територіальної громади на 2022 рік - 2300,00грн</t>
  </si>
  <si>
    <t>0216071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</si>
  <si>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</si>
  <si>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0217130</t>
  </si>
  <si>
    <t>Здійснення  заходів із землеустрою</t>
  </si>
  <si>
    <t>Проведення інвентаризації земель та розробка проектів землеустрою</t>
  </si>
  <si>
    <t>Проведення інвентаризації земель та розробка проектів землеустрою(Тая) (Надходження коштів від відшкодування втрат сільськогосподарського і лісогосподарського виробництва  )2111000</t>
  </si>
  <si>
    <t>0217310</t>
  </si>
  <si>
    <t>Будівництво об'єктів житлово-комунального господарства</t>
  </si>
  <si>
    <t>3210</t>
  </si>
  <si>
    <t xml:space="preserve">Програма реформування і розвитку
житлово-комунального господарства
Боярської міської територіальної громади на 2022-2025 роки 
</t>
  </si>
  <si>
    <t>0217413</t>
  </si>
  <si>
    <t xml:space="preserve">Інші заходи у сфері автотранспорту </t>
  </si>
  <si>
    <t>Програма транспортного забезпечення пасажирських перевезень на 2021-2025 роки</t>
  </si>
  <si>
    <t>0217350</t>
  </si>
  <si>
    <t>Розроблення схем планування та забудови територій (містобудівної документації)</t>
  </si>
  <si>
    <t>2281</t>
  </si>
  <si>
    <t>Сприяння розвитку малого та середнього підприємництва</t>
  </si>
  <si>
    <t>Програма розвитку малого та середнього підприємства</t>
  </si>
  <si>
    <t>0217670</t>
  </si>
  <si>
    <t>Внески до статутного капіталу суб’єктів господарювання</t>
  </si>
  <si>
    <t>0217680</t>
  </si>
  <si>
    <t>Членські внески до асоціацій органів місцевого самоврядування</t>
  </si>
  <si>
    <t>Сплата членських внесків в Асоціації органів місцевого самоврядування</t>
  </si>
  <si>
    <t>0218220</t>
  </si>
  <si>
    <t>Заходи та роботи з мобілізаційної підготовки місцевого значення</t>
  </si>
  <si>
    <t>Проведення призову молоді, підтримки заходів мобілізаційної підготовки та територіальної оборони на території Боярської територіальної громади</t>
  </si>
  <si>
    <t>0218230</t>
  </si>
  <si>
    <t>Інші заходи громадського порядку та безпеки</t>
  </si>
  <si>
    <t>Комплексна програма профілактики правопорушеннь на території Боярської міської територіальної громади</t>
  </si>
  <si>
    <t>0218330</t>
  </si>
  <si>
    <t xml:space="preserve">Програма ліквідації несанкціонованих сміттєзвалищ та поводження з побутовими відходами - 2000,00грн, Програма охорони від навколишнього середовища(580,0 тис.грн) </t>
  </si>
  <si>
    <t>Оплата послуг (за рахунок екологічного податку)</t>
  </si>
  <si>
    <t>06</t>
  </si>
  <si>
    <t>Управління освіти і науки Боярської міської ради</t>
  </si>
  <si>
    <t>0610160</t>
  </si>
  <si>
    <t>0611010</t>
  </si>
  <si>
    <t>Надання дошкільної освіти</t>
  </si>
  <si>
    <t>2220</t>
  </si>
  <si>
    <t>Медикаменти та перев'язувальні матеріали</t>
  </si>
  <si>
    <t>2230</t>
  </si>
  <si>
    <t>Продукти харчування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</si>
  <si>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</si>
  <si>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</si>
  <si>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</si>
  <si>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інших енергоносіїв та інших комунальних послуг</t>
  </si>
  <si>
    <t>ЗДО (ясла-садок) комбінованого типу "Іскорка"</t>
  </si>
  <si>
    <t>ФОП мінус</t>
  </si>
  <si>
    <t>КЗ заклад дошкільної освіти (ясла-садок) "Даринка"</t>
  </si>
  <si>
    <t>ЗДО (дитчий садок) " Лісова казка"</t>
  </si>
  <si>
    <t xml:space="preserve">ЗДО (ясла-садок) комбінованого типу "Спадкоємець" </t>
  </si>
  <si>
    <t>Заклад дошкільної освіти "Казкова рибка" Боярської міської ради</t>
  </si>
  <si>
    <t>ЗДО-ЦРД "Джерельце"</t>
  </si>
  <si>
    <t xml:space="preserve">Новосілський ЗДО "Берізка" </t>
  </si>
  <si>
    <t xml:space="preserve">ЗДО  "Берізка" </t>
  </si>
  <si>
    <t xml:space="preserve">Тарасівський ЗДО  "Віночок" </t>
  </si>
  <si>
    <t xml:space="preserve">ЗДО (ясла-садок) комбінованого типу "Казка" </t>
  </si>
  <si>
    <t>компютер</t>
  </si>
  <si>
    <t>Княжицький ЗДО "Княжичанка"</t>
  </si>
  <si>
    <t>0611021</t>
  </si>
  <si>
    <t>Надання загальної середньої освіти закладами загальної середньої освіти</t>
  </si>
  <si>
    <t>Боярське навчально-виховне об'єднання "загальнооствіня школа І ступеня-дитячий садок" Боярської міської ради</t>
  </si>
  <si>
    <t>Новосілківський ліцей</t>
  </si>
  <si>
    <t>Боярський академічний ліцей «Престиж»</t>
  </si>
  <si>
    <t xml:space="preserve">Боярський академічний ліцей «Лідер» </t>
  </si>
  <si>
    <t>Боярська загальноосвітня школа І-ІІІ ступенів №1</t>
  </si>
  <si>
    <t>Боярська загальноосвітня школа І-ІІІ ступенів №2</t>
  </si>
  <si>
    <t>Боярська загальноосвітня школа І-ІІІ ступенів №4</t>
  </si>
  <si>
    <t xml:space="preserve">Боярський академічний ліцей «Гармонія» </t>
  </si>
  <si>
    <t>Забірський опорной заклад загальної середньої освіти І-ІІІ ступенів</t>
  </si>
  <si>
    <t xml:space="preserve"> Малютянська загальноосвітня школа І-ІІІ ступенів</t>
  </si>
  <si>
    <t xml:space="preserve"> Тарасівська загальноосвітня школа І-ІІІ ступенів</t>
  </si>
  <si>
    <t>0611031</t>
  </si>
  <si>
    <t>Новосілківська гімназія</t>
  </si>
  <si>
    <t>0611070</t>
  </si>
  <si>
    <t>Надання позашкільної освіти закладами позашкільної освіти, заходи із позашкільної роботи з дітьми</t>
  </si>
  <si>
    <t>Центр еколого-натуралістичної творчості "Юннати" Боярської міської ради</t>
  </si>
  <si>
    <t>Центр позашкільної освіти "Оберіг" Боярської міської ради</t>
  </si>
  <si>
    <t>0611151</t>
  </si>
  <si>
    <t>Забезпечення діяльності інклюзивно-ресурсних центрів за рахунок коштів місцевого бюджету</t>
  </si>
  <si>
    <t>08</t>
  </si>
  <si>
    <t>Управління соціального захисту населення Боярської міської ради</t>
  </si>
  <si>
    <t>0810160</t>
  </si>
  <si>
    <t>Надання пільг окремим категоріям громадян з оплати послуг зв'язку</t>
  </si>
  <si>
    <t>Інші виплати населенню</t>
  </si>
  <si>
    <t>Компенсаційні виплати за пільговий проїзд окремих категорій громадян на залізничному транспорті</t>
  </si>
  <si>
    <t>0813121</t>
  </si>
  <si>
    <t xml:space="preserve">Утримання та забезпечення діяльності центрів соціальних служб </t>
  </si>
  <si>
    <t>Канцелярія, засоби захисту та дезинфекція, бензин,буд. Матеріали</t>
  </si>
  <si>
    <t>Оплата за воду та водовідведення</t>
  </si>
  <si>
    <t>вивіз сміття</t>
  </si>
  <si>
    <t>Придбання обладнання</t>
  </si>
  <si>
    <t>Заходи державної політики із забезпечення рівних прав та можливостей жінок та чоловіків</t>
  </si>
  <si>
    <t>Заходи державної політики з питань сім'ї</t>
  </si>
  <si>
    <t>Грошова компенсація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</si>
  <si>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Капітальні трансферти населенню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</si>
  <si>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</si>
  <si>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</si>
  <si>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</si>
  <si>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2730</t>
  </si>
  <si>
    <t>0813192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</si>
  <si>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</si>
  <si>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0813242</t>
  </si>
  <si>
    <t>Інші заходи у сфері соціального захисту і соціального забезпечення</t>
  </si>
  <si>
    <t>09</t>
  </si>
  <si>
    <t>Служба у справах дітей Боярської міської ради</t>
  </si>
  <si>
    <t>0910160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</si>
  <si>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</si>
  <si>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</si>
  <si>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10</t>
  </si>
  <si>
    <t>Управління культури, молоді та спорту Боярської міської ради</t>
  </si>
  <si>
    <t>1010160</t>
  </si>
  <si>
    <t>1011080</t>
  </si>
  <si>
    <t>Надання спеціальної освіти мистецькими школами</t>
  </si>
  <si>
    <t xml:space="preserve">Придбання обладнання і предметів </t>
  </si>
  <si>
    <t>компютер для бух</t>
  </si>
  <si>
    <t>1013133</t>
  </si>
  <si>
    <t>Програма підтримки та розвитку молоді і молодіжної політики та національно-патріотичного виховання</t>
  </si>
  <si>
    <t>Програма Стипендія міського голови</t>
  </si>
  <si>
    <t>1014030</t>
  </si>
  <si>
    <t>Забезпечення діяльності бібліотек</t>
  </si>
  <si>
    <t>комп. Тех</t>
  </si>
  <si>
    <t>Капітальний ремонт інших об'єктів</t>
  </si>
  <si>
    <t>проект кап рем приміщення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</si>
  <si>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</si>
  <si>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Придбання обладнання і предметів (цільовий фонд)</t>
  </si>
  <si>
    <t>1014040</t>
  </si>
  <si>
    <t>Забезпечення діяльності музеїв i виставок</t>
  </si>
  <si>
    <t>комп, МФО, ноут, мультімедійна книга-90,0тис.грн</t>
  </si>
  <si>
    <t>проект дом на благ. Лілт місц. приміщення</t>
  </si>
  <si>
    <t>1014060</t>
  </si>
  <si>
    <t>Забезпечення діяльності палаців i будинків культури, клубів, центрів дозвілля та iнших клубних закладів</t>
  </si>
  <si>
    <t>проект докум.по криші</t>
  </si>
  <si>
    <t>1014081</t>
  </si>
  <si>
    <t>Забезпечення діяльності інших закладів в галузі культури і мистецтва</t>
  </si>
  <si>
    <t>Програма підтримки та розвитку дитячої школи мистецтва</t>
  </si>
  <si>
    <t>1014082</t>
  </si>
  <si>
    <t>Інші заходи в галузі культури і мистецтва</t>
  </si>
  <si>
    <t>Програма організації та проведення культурно-масових заходів</t>
  </si>
  <si>
    <t>1015031</t>
  </si>
  <si>
    <t>Утримання та навчально-тренувальна робота комунальних дитячо-юнацьких спортивних шкіл</t>
  </si>
  <si>
    <t>1015061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</si>
  <si>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</si>
  <si>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 xml:space="preserve">Програма розвитку волейболу </t>
  </si>
  <si>
    <t>Програма розвитку футболу</t>
  </si>
  <si>
    <t>1015062</t>
  </si>
  <si>
    <t>Програма розвитку фізичної культури та спорту КЗ ДЮСШ</t>
  </si>
  <si>
    <t>15</t>
  </si>
  <si>
    <t>Управління капітального будівництва Боярської міської ради</t>
  </si>
  <si>
    <t>1510160</t>
  </si>
  <si>
    <t>37</t>
  </si>
  <si>
    <t>Управління фінансів Боярської міської ради</t>
  </si>
  <si>
    <t>3710160</t>
  </si>
  <si>
    <t>8700</t>
  </si>
  <si>
    <t>Резервний фонд</t>
  </si>
  <si>
    <t>3718710</t>
  </si>
  <si>
    <t>Резервний фонд місцевого бюджету</t>
  </si>
  <si>
    <t>9000</t>
  </si>
  <si>
    <t>Нерозподілені видатки</t>
  </si>
  <si>
    <t>3719110</t>
  </si>
  <si>
    <t>Реверсна дотація </t>
  </si>
  <si>
    <t>2620</t>
  </si>
  <si>
    <t>Поточні трансферти органам державного управління інших рівнів</t>
  </si>
  <si>
    <t>3719770</t>
  </si>
  <si>
    <t>Інші субвенції з місцевого бюджету</t>
  </si>
  <si>
    <t>ВСЬОГО:</t>
  </si>
  <si>
    <t xml:space="preserve">Освітня субвенція </t>
  </si>
  <si>
    <t>Субвенція з обласного бюджету (ЧАЕС пільгове зубопротезування -300000грн.,  пільгові ліки  -1360600грн)</t>
  </si>
  <si>
    <t>змен освіт субвен</t>
  </si>
  <si>
    <t>з них передача с ЗФ до СФ</t>
  </si>
  <si>
    <t>Доходи</t>
  </si>
  <si>
    <t xml:space="preserve"> </t>
  </si>
  <si>
    <t>0213050</t>
  </si>
  <si>
    <t>Пільгове медичне обслуговування осіб, які постраждали внаслідок Чорнобильської катастрофи</t>
  </si>
  <si>
    <t>в тому числі:</t>
  </si>
  <si>
    <t>Дотація:охорона здоров'я (клмунальні послуги) -500000,00грн., освіта (оплата праці непедагогічних працівників) - 2076700,00грн</t>
  </si>
  <si>
    <r>
      <t xml:space="preserve">Програма розвитку, функціонування та підтримки(фінансоівої) комунального некомерційного підприємства "Лікарня інтенсивного лікування Бярської міської ради" на 2021-2025 роки, </t>
    </r>
    <r>
      <rPr>
        <b/>
        <i/>
        <sz val="10"/>
        <color indexed="8"/>
        <rFont val="Times New Roman"/>
        <family val="1"/>
        <charset val="204"/>
      </rPr>
      <t>в т.ч. Дотація ЛІЛ -500000,00грн.</t>
    </r>
  </si>
  <si>
    <r>
      <t xml:space="preserve">Первинна медична допомога населенню, що надається центрами первинної медичної (медико-санітарної) допомоги </t>
    </r>
    <r>
      <rPr>
        <i/>
        <sz val="10"/>
        <color indexed="8"/>
        <rFont val="Times New Roman"/>
        <family val="1"/>
        <charset val="204"/>
      </rPr>
      <t xml:space="preserve">  АЗПСМ</t>
    </r>
  </si>
  <si>
    <r>
      <t xml:space="preserve">Програма розвитку, функціонування та підтримки(фінансоівої) комунального некомерційного підприємства "Лікарня інтенсивного лікування Бярської міської ради" на 2021-2025 роки. </t>
    </r>
    <r>
      <rPr>
        <b/>
        <i/>
        <sz val="10"/>
        <color indexed="8"/>
        <rFont val="Times New Roman"/>
        <family val="1"/>
        <charset val="204"/>
      </rPr>
      <t xml:space="preserve">КП "ЛІЛ" </t>
    </r>
  </si>
  <si>
    <r>
      <t xml:space="preserve">Забезпечення діяльності водопровідно-каналізаційного господарства     </t>
    </r>
    <r>
      <rPr>
        <i/>
        <sz val="10"/>
        <color indexed="8"/>
        <rFont val="Times New Roman"/>
        <family val="1"/>
        <charset val="204"/>
      </rPr>
      <t>КП Боярка водоканал</t>
    </r>
  </si>
  <si>
    <r>
      <t xml:space="preserve"> </t>
    </r>
    <r>
      <rPr>
        <i/>
        <sz val="10"/>
        <color indexed="8"/>
        <rFont val="Times New Roman"/>
        <family val="1"/>
        <charset val="204"/>
      </rPr>
      <t>програма "Благоустрій" утримання кладовищ на поховання окремих категорій громадян</t>
    </r>
  </si>
  <si>
    <r>
      <t xml:space="preserve"> </t>
    </r>
    <r>
      <rPr>
        <b/>
        <i/>
        <sz val="10"/>
        <color indexed="8"/>
        <rFont val="Times New Roman"/>
        <family val="1"/>
        <charset val="204"/>
      </rPr>
      <t>КП Громада</t>
    </r>
  </si>
  <si>
    <r>
      <t xml:space="preserve">Відшкодування різниці в тарифах </t>
    </r>
    <r>
      <rPr>
        <b/>
        <i/>
        <sz val="10"/>
        <color indexed="8"/>
        <rFont val="Times New Roman"/>
        <family val="1"/>
        <charset val="204"/>
      </rPr>
      <t>КП Боярка водоканал"</t>
    </r>
  </si>
  <si>
    <r>
      <rPr>
        <i/>
        <sz val="10"/>
        <color indexed="8"/>
        <rFont val="Times New Roman"/>
        <family val="1"/>
        <charset val="204"/>
      </rPr>
      <t xml:space="preserve">Відшкодування різниці в тарифах 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i/>
        <sz val="10"/>
        <color indexed="8"/>
        <rFont val="Times New Roman"/>
        <family val="1"/>
        <charset val="204"/>
      </rPr>
      <t>КП БГВУЖКГ</t>
    </r>
  </si>
  <si>
    <r>
      <t xml:space="preserve">Капітальні трансферти підприємствам (установам, організаціям) </t>
    </r>
    <r>
      <rPr>
        <b/>
        <i/>
        <sz val="10"/>
        <color indexed="8"/>
        <rFont val="Times New Roman"/>
        <family val="1"/>
        <charset val="204"/>
      </rPr>
      <t>КП Транспортне (лізінг)</t>
    </r>
  </si>
  <si>
    <r>
      <t>Здійснення розробки проектної та містобудівної документації (</t>
    </r>
    <r>
      <rPr>
        <b/>
        <i/>
        <sz val="10"/>
        <color indexed="8"/>
        <rFont val="Times New Roman"/>
        <family val="1"/>
        <charset val="204"/>
      </rPr>
      <t>архітектура</t>
    </r>
    <r>
      <rPr>
        <i/>
        <sz val="10"/>
        <color indexed="8"/>
        <rFont val="Times New Roman"/>
        <family val="1"/>
        <charset val="204"/>
      </rPr>
      <t>)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</si>
  <si>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 xml:space="preserve">КП Боярка водоканал" </t>
    </r>
    <r>
      <rPr>
        <i/>
        <sz val="10"/>
        <color indexed="8"/>
        <rFont val="Times New Roman"/>
        <family val="1"/>
        <charset val="204"/>
      </rPr>
      <t>Реконструкція КНС в с.Тарасівка-500,00грн, Придбання свердловинних насосів -221,00грн, кап. ремонт напірного колектору від КНС-9 (заводська) до вул. Білогородська Ø300 мм - 1631,4грн, Проєкт реконструкції КНС с.Забір'є та напірного колектору -1205,00грн</t>
    </r>
  </si>
  <si>
    <r>
      <rPr>
        <i/>
        <sz val="10"/>
        <rFont val="Times New Roman"/>
        <family val="1"/>
        <charset val="204"/>
      </rPr>
      <t xml:space="preserve">Технічне переоснащення системи водопостачання (обладнання будівель вузлами комерційного обліку холодної води) в житлових багатоквартирних будинках на території Боярської міської Територіальної громади </t>
    </r>
    <r>
      <rPr>
        <b/>
        <i/>
        <sz val="10"/>
        <rFont val="Times New Roman"/>
        <family val="1"/>
        <charset val="204"/>
      </rPr>
      <t>Програма енергозбереження КП Боярка водоканал"</t>
    </r>
  </si>
  <si>
    <r>
      <t>Інша діяльність у сфері екології та охорони природних ресурсів</t>
    </r>
    <r>
      <rPr>
        <b/>
        <i/>
        <sz val="10"/>
        <color indexed="8"/>
        <rFont val="Times New Roman"/>
        <family val="1"/>
        <charset val="204"/>
      </rPr>
      <t xml:space="preserve">                                Програма охорони від навколишнього середовища(580,0 тис.грн) Смітєзвалище -3000,00 тис.грн.</t>
    </r>
  </si>
  <si>
    <r>
      <t>Заробітна плата</t>
    </r>
    <r>
      <rPr>
        <b/>
        <sz val="10"/>
        <color indexed="8"/>
        <rFont val="Times New Roman"/>
        <family val="1"/>
        <charset val="204"/>
      </rPr>
      <t xml:space="preserve"> (дотація)</t>
    </r>
  </si>
  <si>
    <r>
      <t>Нарахування на оплату праці</t>
    </r>
    <r>
      <rPr>
        <b/>
        <sz val="10"/>
        <color indexed="8"/>
        <rFont val="Times New Roman"/>
        <family val="1"/>
        <charset val="204"/>
      </rPr>
      <t xml:space="preserve"> (дотація)</t>
    </r>
  </si>
  <si>
    <t>Додаток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</si>
</sst>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0"/>
      <name val="Arial"/>
      <family val="2"/>
      <charset val="204"/>
    </font>
    <font>
      <sz val="9"/>
      <color indexed="8"/>
      <name val="SansSerif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8"/>
      <name val="Arial"/>
      <family val="2"/>
      <charset val="204"/>
    </font>
    <font>
      <sz val="7"/>
      <color indexed="8"/>
      <name val="Times New Roman"/>
      <family val="1"/>
      <charset val="204"/>
    </font>
    <font>
      <sz val="8"/>
      <color rgb="FFFF0000"/>
      <name val="Arial"/>
      <family val="2"/>
      <charset val="204"/>
    </font>
    <font>
      <sz val="7"/>
      <color indexed="8"/>
      <name val="Arial"/>
      <family val="2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70">
    <xf numFmtId="0" fontId="0" fillId="0" borderId="0" xfId="0"/>
    <xf numFmtId="0" fontId="1" fillId="0" borderId="0" xfId="0" applyFont="1" applyBorder="1" applyAlignment="1" applyProtection="1">
      <alignment horizontal="left" vertical="top" wrapText="1"/>
    </xf>
    <xf numFmtId="3" fontId="2" fillId="0" borderId="0" xfId="0" applyNumberFormat="1" applyFont="1" applyBorder="1" applyAlignment="1" applyProtection="1">
      <alignment horizontal="left" vertical="top" wrapText="1"/>
    </xf>
    <xf numFmtId="3" fontId="3" fillId="0" borderId="0" xfId="0" applyNumberFormat="1" applyFont="1" applyBorder="1"/>
    <xf numFmtId="3" fontId="4" fillId="0" borderId="0" xfId="0" applyNumberFormat="1" applyFont="1" applyBorder="1" applyAlignment="1">
      <alignment horizontal="right" vertical="top"/>
    </xf>
    <xf numFmtId="3" fontId="5" fillId="0" borderId="1" xfId="0" applyNumberFormat="1" applyFont="1" applyBorder="1" applyAlignment="1">
      <alignment vertical="top"/>
    </xf>
    <xf numFmtId="3" fontId="5" fillId="0" borderId="2" xfId="0" applyNumberFormat="1" applyFont="1" applyBorder="1" applyAlignment="1">
      <alignment vertical="top"/>
    </xf>
    <xf numFmtId="3" fontId="5" fillId="0" borderId="3" xfId="0" applyNumberFormat="1" applyFont="1" applyBorder="1" applyAlignment="1">
      <alignment vertical="top"/>
    </xf>
    <xf numFmtId="3" fontId="3" fillId="2" borderId="2" xfId="0" applyNumberFormat="1" applyFont="1" applyFill="1" applyBorder="1" applyAlignment="1">
      <alignment vertical="top"/>
    </xf>
    <xf numFmtId="0" fontId="7" fillId="0" borderId="0" xfId="0" applyFont="1" applyBorder="1" applyAlignment="1" applyProtection="1">
      <alignment horizontal="center" vertical="top" wrapText="1"/>
    </xf>
    <xf numFmtId="3" fontId="9" fillId="0" borderId="0" xfId="0" applyNumberFormat="1" applyFont="1" applyBorder="1" applyAlignment="1" applyProtection="1">
      <alignment horizontal="right" vertical="center" wrapText="1"/>
    </xf>
    <xf numFmtId="0" fontId="11" fillId="0" borderId="20" xfId="0" applyFont="1" applyBorder="1" applyAlignment="1" applyProtection="1">
      <alignment horizontal="left" vertical="center" wrapText="1"/>
    </xf>
    <xf numFmtId="0" fontId="11" fillId="0" borderId="19" xfId="0" applyFont="1" applyBorder="1" applyAlignment="1" applyProtection="1">
      <alignment horizontal="left" vertical="center" wrapText="1"/>
    </xf>
    <xf numFmtId="3" fontId="12" fillId="0" borderId="1" xfId="0" applyNumberFormat="1" applyFont="1" applyBorder="1" applyAlignment="1">
      <alignment vertical="top"/>
    </xf>
    <xf numFmtId="3" fontId="12" fillId="0" borderId="2" xfId="0" applyNumberFormat="1" applyFont="1" applyBorder="1" applyAlignment="1">
      <alignment vertical="top"/>
    </xf>
    <xf numFmtId="3" fontId="12" fillId="0" borderId="3" xfId="0" applyNumberFormat="1" applyFont="1" applyBorder="1" applyAlignment="1">
      <alignment vertical="top"/>
    </xf>
    <xf numFmtId="0" fontId="1" fillId="0" borderId="0" xfId="0" applyFont="1" applyFill="1" applyBorder="1" applyAlignment="1" applyProtection="1">
      <alignment horizontal="left" vertical="top" wrapText="1"/>
    </xf>
    <xf numFmtId="3" fontId="13" fillId="0" borderId="0" xfId="0" applyNumberFormat="1" applyFont="1" applyBorder="1" applyAlignment="1">
      <alignment vertical="top"/>
    </xf>
    <xf numFmtId="3" fontId="15" fillId="0" borderId="0" xfId="1" applyNumberFormat="1" applyFont="1" applyBorder="1" applyAlignment="1">
      <alignment vertical="top" wrapText="1"/>
    </xf>
    <xf numFmtId="0" fontId="0" fillId="0" borderId="0" xfId="0" applyBorder="1"/>
    <xf numFmtId="3" fontId="13" fillId="0" borderId="3" xfId="0" applyNumberFormat="1" applyFont="1" applyBorder="1" applyAlignment="1">
      <alignment vertical="top"/>
    </xf>
    <xf numFmtId="0" fontId="14" fillId="0" borderId="0" xfId="1" applyFont="1" applyBorder="1" applyAlignment="1">
      <alignment vertical="top" wrapText="1"/>
    </xf>
    <xf numFmtId="3" fontId="14" fillId="0" borderId="0" xfId="1" applyNumberFormat="1" applyFont="1" applyBorder="1" applyAlignment="1">
      <alignment vertical="top" wrapText="1"/>
    </xf>
    <xf numFmtId="0" fontId="14" fillId="0" borderId="0" xfId="1" applyFont="1" applyBorder="1" applyAlignment="1">
      <alignment horizontal="center" vertical="top" wrapText="1"/>
    </xf>
    <xf numFmtId="3" fontId="10" fillId="2" borderId="2" xfId="0" applyNumberFormat="1" applyFont="1" applyFill="1" applyBorder="1" applyAlignment="1">
      <alignment vertical="top"/>
    </xf>
    <xf numFmtId="3" fontId="8" fillId="3" borderId="1" xfId="0" applyNumberFormat="1" applyFont="1" applyFill="1" applyBorder="1" applyAlignment="1">
      <alignment vertical="top"/>
    </xf>
    <xf numFmtId="3" fontId="8" fillId="3" borderId="2" xfId="0" applyNumberFormat="1" applyFont="1" applyFill="1" applyBorder="1" applyAlignment="1">
      <alignment vertical="top"/>
    </xf>
    <xf numFmtId="3" fontId="3" fillId="2" borderId="1" xfId="0" applyNumberFormat="1" applyFont="1" applyFill="1" applyBorder="1" applyAlignment="1">
      <alignment vertical="top"/>
    </xf>
    <xf numFmtId="3" fontId="0" fillId="0" borderId="0" xfId="0" applyNumberFormat="1"/>
    <xf numFmtId="3" fontId="3" fillId="4" borderId="2" xfId="0" applyNumberFormat="1" applyFont="1" applyFill="1" applyBorder="1" applyAlignment="1">
      <alignment vertical="top"/>
    </xf>
    <xf numFmtId="3" fontId="3" fillId="3" borderId="1" xfId="0" applyNumberFormat="1" applyFont="1" applyFill="1" applyBorder="1" applyAlignment="1">
      <alignment vertical="top"/>
    </xf>
    <xf numFmtId="3" fontId="3" fillId="3" borderId="2" xfId="0" applyNumberFormat="1" applyFont="1" applyFill="1" applyBorder="1" applyAlignment="1">
      <alignment vertical="top"/>
    </xf>
    <xf numFmtId="3" fontId="5" fillId="0" borderId="22" xfId="0" applyNumberFormat="1" applyFont="1" applyBorder="1" applyAlignment="1">
      <alignment vertical="top"/>
    </xf>
    <xf numFmtId="3" fontId="5" fillId="0" borderId="0" xfId="0" applyNumberFormat="1" applyFont="1" applyBorder="1" applyAlignment="1">
      <alignment vertical="top"/>
    </xf>
    <xf numFmtId="3" fontId="0" fillId="0" borderId="0" xfId="0" applyNumberFormat="1" applyFont="1" applyBorder="1" applyAlignment="1">
      <alignment horizontal="right" vertical="center" wrapText="1"/>
    </xf>
    <xf numFmtId="0" fontId="3" fillId="0" borderId="0" xfId="0" applyFont="1"/>
    <xf numFmtId="3" fontId="3" fillId="0" borderId="0" xfId="0" applyNumberFormat="1" applyFont="1"/>
    <xf numFmtId="3" fontId="16" fillId="0" borderId="0" xfId="0" applyNumberFormat="1" applyFont="1"/>
    <xf numFmtId="3" fontId="3" fillId="0" borderId="0" xfId="0" applyNumberFormat="1" applyFont="1" applyAlignment="1">
      <alignment vertical="top"/>
    </xf>
    <xf numFmtId="0" fontId="8" fillId="0" borderId="0" xfId="0" applyFont="1" applyAlignment="1">
      <alignment horizontal="center"/>
    </xf>
    <xf numFmtId="3" fontId="16" fillId="0" borderId="0" xfId="0" applyNumberFormat="1" applyFont="1" applyAlignment="1">
      <alignment vertical="top"/>
    </xf>
    <xf numFmtId="0" fontId="17" fillId="0" borderId="14" xfId="0" applyFont="1" applyBorder="1" applyAlignment="1" applyProtection="1">
      <alignment horizontal="left" vertical="top" wrapText="1"/>
    </xf>
    <xf numFmtId="0" fontId="17" fillId="0" borderId="15" xfId="0" applyFont="1" applyBorder="1" applyAlignment="1" applyProtection="1">
      <alignment horizontal="left" vertical="top" wrapText="1"/>
    </xf>
    <xf numFmtId="3" fontId="17" fillId="0" borderId="15" xfId="0" applyNumberFormat="1" applyFont="1" applyBorder="1" applyAlignment="1" applyProtection="1">
      <alignment horizontal="right" vertical="top" wrapText="1"/>
    </xf>
    <xf numFmtId="3" fontId="13" fillId="0" borderId="16" xfId="0" applyNumberFormat="1" applyFont="1" applyBorder="1" applyAlignment="1">
      <alignment vertical="top"/>
    </xf>
    <xf numFmtId="0" fontId="17" fillId="0" borderId="17" xfId="0" applyFont="1" applyBorder="1" applyAlignment="1" applyProtection="1">
      <alignment horizontal="left" vertical="top" wrapText="1"/>
    </xf>
    <xf numFmtId="0" fontId="17" fillId="0" borderId="2" xfId="0" applyFont="1" applyBorder="1" applyAlignment="1" applyProtection="1">
      <alignment horizontal="left" vertical="top" wrapText="1"/>
    </xf>
    <xf numFmtId="3" fontId="17" fillId="0" borderId="2" xfId="0" applyNumberFormat="1" applyFont="1" applyBorder="1" applyAlignment="1" applyProtection="1">
      <alignment horizontal="right" vertical="top" wrapText="1"/>
    </xf>
    <xf numFmtId="3" fontId="13" fillId="0" borderId="18" xfId="0" applyNumberFormat="1" applyFont="1" applyBorder="1" applyAlignment="1">
      <alignment vertical="top"/>
    </xf>
    <xf numFmtId="0" fontId="18" fillId="0" borderId="17" xfId="0" applyFont="1" applyBorder="1" applyAlignment="1" applyProtection="1">
      <alignment horizontal="left" vertical="top" wrapText="1"/>
    </xf>
    <xf numFmtId="0" fontId="18" fillId="0" borderId="2" xfId="0" applyFont="1" applyBorder="1" applyAlignment="1" applyProtection="1">
      <alignment horizontal="left" vertical="top" wrapText="1"/>
    </xf>
    <xf numFmtId="3" fontId="18" fillId="0" borderId="2" xfId="0" applyNumberFormat="1" applyFont="1" applyBorder="1" applyAlignment="1" applyProtection="1">
      <alignment horizontal="right" vertical="top" wrapText="1"/>
    </xf>
    <xf numFmtId="3" fontId="5" fillId="0" borderId="18" xfId="0" applyNumberFormat="1" applyFont="1" applyBorder="1" applyAlignment="1">
      <alignment vertical="top"/>
    </xf>
    <xf numFmtId="0" fontId="18" fillId="0" borderId="2" xfId="0" applyFont="1" applyFill="1" applyBorder="1" applyAlignment="1" applyProtection="1">
      <alignment horizontal="left" vertical="top" wrapText="1"/>
    </xf>
    <xf numFmtId="0" fontId="12" fillId="0" borderId="19" xfId="0" applyFont="1" applyBorder="1" applyAlignment="1" applyProtection="1">
      <alignment horizontal="left" vertical="center" wrapText="1"/>
    </xf>
    <xf numFmtId="3" fontId="5" fillId="0" borderId="18" xfId="0" applyNumberFormat="1" applyFont="1" applyFill="1" applyBorder="1" applyAlignment="1">
      <alignment vertical="top"/>
    </xf>
    <xf numFmtId="0" fontId="19" fillId="0" borderId="2" xfId="0" applyFont="1" applyBorder="1" applyAlignment="1" applyProtection="1">
      <alignment horizontal="left" vertical="top" wrapText="1"/>
    </xf>
    <xf numFmtId="0" fontId="17" fillId="2" borderId="17" xfId="0" applyFont="1" applyFill="1" applyBorder="1" applyAlignment="1" applyProtection="1">
      <alignment horizontal="left" vertical="top" wrapText="1"/>
    </xf>
    <xf numFmtId="0" fontId="17" fillId="2" borderId="2" xfId="0" applyFont="1" applyFill="1" applyBorder="1" applyAlignment="1" applyProtection="1">
      <alignment horizontal="left" vertical="top" wrapText="1"/>
    </xf>
    <xf numFmtId="3" fontId="17" fillId="2" borderId="2" xfId="0" applyNumberFormat="1" applyFont="1" applyFill="1" applyBorder="1" applyAlignment="1" applyProtection="1">
      <alignment horizontal="right" vertical="top" wrapText="1"/>
    </xf>
    <xf numFmtId="3" fontId="13" fillId="2" borderId="18" xfId="0" applyNumberFormat="1" applyFont="1" applyFill="1" applyBorder="1" applyAlignment="1">
      <alignment vertical="top"/>
    </xf>
    <xf numFmtId="0" fontId="18" fillId="2" borderId="17" xfId="0" applyFont="1" applyFill="1" applyBorder="1" applyAlignment="1" applyProtection="1">
      <alignment horizontal="left" vertical="top" wrapText="1"/>
    </xf>
    <xf numFmtId="0" fontId="19" fillId="2" borderId="2" xfId="0" applyFont="1" applyFill="1" applyBorder="1" applyAlignment="1" applyProtection="1">
      <alignment horizontal="left" vertical="top" wrapText="1"/>
    </xf>
    <xf numFmtId="3" fontId="18" fillId="2" borderId="2" xfId="0" applyNumberFormat="1" applyFont="1" applyFill="1" applyBorder="1" applyAlignment="1" applyProtection="1">
      <alignment horizontal="right" vertical="top" wrapText="1"/>
    </xf>
    <xf numFmtId="3" fontId="5" fillId="2" borderId="18" xfId="0" applyNumberFormat="1" applyFont="1" applyFill="1" applyBorder="1" applyAlignment="1">
      <alignment vertical="top"/>
    </xf>
    <xf numFmtId="0" fontId="17" fillId="0" borderId="17" xfId="0" applyFont="1" applyFill="1" applyBorder="1" applyAlignment="1" applyProtection="1">
      <alignment horizontal="left" vertical="top" wrapText="1"/>
    </xf>
    <xf numFmtId="0" fontId="17" fillId="0" borderId="2" xfId="0" applyFont="1" applyFill="1" applyBorder="1" applyAlignment="1" applyProtection="1">
      <alignment horizontal="left" vertical="top" wrapText="1"/>
    </xf>
    <xf numFmtId="3" fontId="17" fillId="0" borderId="2" xfId="0" applyNumberFormat="1" applyFont="1" applyFill="1" applyBorder="1" applyAlignment="1" applyProtection="1">
      <alignment horizontal="right" vertical="top" wrapText="1"/>
    </xf>
    <xf numFmtId="3" fontId="13" fillId="0" borderId="18" xfId="0" applyNumberFormat="1" applyFont="1" applyFill="1" applyBorder="1" applyAlignment="1">
      <alignment vertical="top"/>
    </xf>
    <xf numFmtId="0" fontId="18" fillId="0" borderId="17" xfId="0" applyFont="1" applyFill="1" applyBorder="1" applyAlignment="1" applyProtection="1">
      <alignment horizontal="left" vertical="top" wrapText="1"/>
    </xf>
    <xf numFmtId="0" fontId="19" fillId="0" borderId="2" xfId="0" applyFont="1" applyFill="1" applyBorder="1" applyAlignment="1" applyProtection="1">
      <alignment horizontal="left" vertical="top" wrapText="1"/>
    </xf>
    <xf numFmtId="3" fontId="18" fillId="0" borderId="2" xfId="0" applyNumberFormat="1" applyFont="1" applyFill="1" applyBorder="1" applyAlignment="1" applyProtection="1">
      <alignment horizontal="right" vertical="top" wrapText="1"/>
    </xf>
    <xf numFmtId="0" fontId="20" fillId="0" borderId="2" xfId="0" applyFont="1" applyFill="1" applyBorder="1" applyAlignment="1" applyProtection="1">
      <alignment horizontal="left" vertical="top" wrapText="1"/>
    </xf>
    <xf numFmtId="3" fontId="5" fillId="2" borderId="2" xfId="0" applyNumberFormat="1" applyFont="1" applyFill="1" applyBorder="1" applyAlignment="1">
      <alignment vertical="top"/>
    </xf>
    <xf numFmtId="0" fontId="5" fillId="0" borderId="17" xfId="0" applyFont="1" applyBorder="1" applyAlignment="1" applyProtection="1">
      <alignment horizontal="left" vertical="top" wrapText="1"/>
    </xf>
    <xf numFmtId="3" fontId="12" fillId="0" borderId="2" xfId="0" applyNumberFormat="1" applyFont="1" applyBorder="1" applyAlignment="1" applyProtection="1">
      <alignment horizontal="right" vertical="top" wrapText="1"/>
    </xf>
    <xf numFmtId="0" fontId="12" fillId="0" borderId="17" xfId="0" applyFont="1" applyBorder="1" applyAlignment="1" applyProtection="1">
      <alignment horizontal="left" vertical="top" wrapText="1"/>
    </xf>
    <xf numFmtId="0" fontId="21" fillId="0" borderId="2" xfId="0" applyFont="1" applyBorder="1" applyAlignment="1" applyProtection="1">
      <alignment horizontal="left" vertical="top" wrapText="1"/>
    </xf>
    <xf numFmtId="3" fontId="12" fillId="0" borderId="18" xfId="0" applyNumberFormat="1" applyFont="1" applyBorder="1" applyAlignment="1">
      <alignment vertical="top"/>
    </xf>
    <xf numFmtId="0" fontId="22" fillId="0" borderId="2" xfId="0" applyFont="1" applyBorder="1" applyAlignment="1" applyProtection="1">
      <alignment horizontal="left" vertical="top" wrapText="1"/>
    </xf>
    <xf numFmtId="0" fontId="5" fillId="0" borderId="17" xfId="0" applyFont="1" applyFill="1" applyBorder="1" applyAlignment="1" applyProtection="1">
      <alignment horizontal="left" vertical="top" wrapText="1"/>
    </xf>
    <xf numFmtId="0" fontId="5" fillId="0" borderId="19" xfId="0" applyFont="1" applyFill="1" applyBorder="1" applyAlignment="1" applyProtection="1">
      <alignment horizontal="left" vertical="center" wrapText="1"/>
    </xf>
    <xf numFmtId="3" fontId="5" fillId="0" borderId="0" xfId="0" applyNumberFormat="1" applyFont="1" applyFill="1" applyBorder="1" applyAlignment="1" applyProtection="1">
      <alignment horizontal="right" vertical="top" wrapText="1"/>
    </xf>
    <xf numFmtId="3" fontId="5" fillId="0" borderId="2" xfId="0" applyNumberFormat="1" applyFont="1" applyFill="1" applyBorder="1" applyAlignment="1" applyProtection="1">
      <alignment horizontal="right" vertical="top" wrapText="1"/>
    </xf>
    <xf numFmtId="3" fontId="18" fillId="0" borderId="21" xfId="0" applyNumberFormat="1" applyFont="1" applyFill="1" applyBorder="1" applyAlignment="1" applyProtection="1">
      <alignment horizontal="right" vertical="top" wrapText="1"/>
    </xf>
    <xf numFmtId="3" fontId="17" fillId="0" borderId="21" xfId="0" applyNumberFormat="1" applyFont="1" applyFill="1" applyBorder="1" applyAlignment="1" applyProtection="1">
      <alignment horizontal="right" vertical="top" wrapText="1"/>
    </xf>
    <xf numFmtId="3" fontId="5" fillId="0" borderId="0" xfId="0" applyNumberFormat="1" applyFont="1" applyFill="1" applyBorder="1"/>
    <xf numFmtId="0" fontId="12" fillId="0" borderId="17" xfId="0" applyFont="1" applyFill="1" applyBorder="1" applyAlignment="1" applyProtection="1">
      <alignment horizontal="left" vertical="top" wrapText="1"/>
    </xf>
    <xf numFmtId="0" fontId="12" fillId="0" borderId="2" xfId="0" applyFont="1" applyFill="1" applyBorder="1" applyAlignment="1" applyProtection="1">
      <alignment horizontal="left" vertical="top" wrapText="1"/>
    </xf>
    <xf numFmtId="3" fontId="12" fillId="0" borderId="0" xfId="0" applyNumberFormat="1" applyFont="1" applyFill="1" applyBorder="1" applyAlignment="1" applyProtection="1">
      <alignment horizontal="right" vertical="top" wrapText="1"/>
    </xf>
    <xf numFmtId="3" fontId="12" fillId="0" borderId="2" xfId="0" applyNumberFormat="1" applyFont="1" applyFill="1" applyBorder="1" applyAlignment="1" applyProtection="1">
      <alignment horizontal="right" vertical="top" wrapText="1"/>
    </xf>
    <xf numFmtId="3" fontId="12" fillId="0" borderId="18" xfId="0" applyNumberFormat="1" applyFont="1" applyFill="1" applyBorder="1" applyAlignment="1">
      <alignment vertical="top"/>
    </xf>
    <xf numFmtId="4" fontId="24" fillId="0" borderId="22" xfId="0" applyNumberFormat="1" applyFont="1" applyFill="1" applyBorder="1" applyAlignment="1">
      <alignment horizontal="center" vertical="center"/>
    </xf>
    <xf numFmtId="4" fontId="5" fillId="0" borderId="23" xfId="0" applyNumberFormat="1" applyFont="1" applyFill="1" applyBorder="1"/>
    <xf numFmtId="4" fontId="5" fillId="0" borderId="2" xfId="0" applyNumberFormat="1" applyFont="1" applyFill="1" applyBorder="1"/>
    <xf numFmtId="4" fontId="24" fillId="0" borderId="24" xfId="0" applyNumberFormat="1" applyFont="1" applyFill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25" fillId="0" borderId="1" xfId="0" applyNumberFormat="1" applyFont="1" applyFill="1" applyBorder="1" applyAlignment="1">
      <alignment horizontal="center" vertical="center"/>
    </xf>
    <xf numFmtId="4" fontId="24" fillId="0" borderId="25" xfId="0" applyNumberFormat="1" applyFont="1" applyFill="1" applyBorder="1" applyAlignment="1">
      <alignment horizontal="center" vertical="center"/>
    </xf>
    <xf numFmtId="4" fontId="24" fillId="0" borderId="26" xfId="0" applyNumberFormat="1" applyFont="1" applyFill="1" applyBorder="1" applyAlignment="1">
      <alignment horizontal="center" vertical="center"/>
    </xf>
    <xf numFmtId="4" fontId="24" fillId="0" borderId="27" xfId="0" applyNumberFormat="1" applyFont="1" applyFill="1" applyBorder="1" applyAlignment="1">
      <alignment horizontal="center" vertical="center"/>
    </xf>
    <xf numFmtId="4" fontId="5" fillId="0" borderId="24" xfId="0" applyNumberFormat="1" applyFont="1" applyFill="1" applyBorder="1" applyAlignment="1">
      <alignment horizontal="center" vertical="center"/>
    </xf>
    <xf numFmtId="4" fontId="5" fillId="0" borderId="27" xfId="0" applyNumberFormat="1" applyFont="1" applyFill="1" applyBorder="1" applyAlignment="1">
      <alignment horizontal="center" vertical="center"/>
    </xf>
    <xf numFmtId="4" fontId="12" fillId="0" borderId="24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4" fontId="24" fillId="0" borderId="23" xfId="0" applyNumberFormat="1" applyFont="1" applyFill="1" applyBorder="1" applyAlignment="1">
      <alignment horizontal="center" vertical="center"/>
    </xf>
    <xf numFmtId="4" fontId="24" fillId="0" borderId="2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 applyProtection="1">
      <alignment horizontal="right" vertical="top" wrapText="1"/>
    </xf>
    <xf numFmtId="3" fontId="18" fillId="0" borderId="18" xfId="0" applyNumberFormat="1" applyFont="1" applyFill="1" applyBorder="1" applyAlignment="1" applyProtection="1">
      <alignment horizontal="right" vertical="top" wrapText="1"/>
    </xf>
    <xf numFmtId="0" fontId="13" fillId="0" borderId="2" xfId="0" applyFont="1" applyFill="1" applyBorder="1" applyAlignment="1">
      <alignment wrapText="1"/>
    </xf>
    <xf numFmtId="3" fontId="5" fillId="0" borderId="28" xfId="0" applyNumberFormat="1" applyFont="1" applyFill="1" applyBorder="1" applyAlignment="1">
      <alignment vertical="top"/>
    </xf>
    <xf numFmtId="0" fontId="18" fillId="0" borderId="0" xfId="0" applyFont="1" applyFill="1" applyBorder="1" applyAlignment="1" applyProtection="1">
      <alignment horizontal="left" vertical="top" wrapText="1"/>
    </xf>
    <xf numFmtId="0" fontId="18" fillId="0" borderId="19" xfId="0" applyFont="1" applyFill="1" applyBorder="1" applyAlignment="1" applyProtection="1">
      <alignment horizontal="left" vertical="center" wrapText="1"/>
    </xf>
    <xf numFmtId="0" fontId="18" fillId="0" borderId="29" xfId="0" applyFont="1" applyFill="1" applyBorder="1" applyAlignment="1" applyProtection="1">
      <alignment horizontal="left" vertical="center" wrapText="1"/>
    </xf>
    <xf numFmtId="0" fontId="26" fillId="0" borderId="0" xfId="0" applyFont="1" applyFill="1" applyBorder="1" applyAlignment="1">
      <alignment wrapText="1"/>
    </xf>
    <xf numFmtId="0" fontId="17" fillId="0" borderId="30" xfId="0" applyFont="1" applyFill="1" applyBorder="1" applyAlignment="1" applyProtection="1">
      <alignment horizontal="left" vertical="top" wrapText="1"/>
    </xf>
    <xf numFmtId="0" fontId="26" fillId="0" borderId="0" xfId="0" applyFont="1" applyFill="1" applyBorder="1"/>
    <xf numFmtId="0" fontId="26" fillId="0" borderId="2" xfId="0" applyFont="1" applyFill="1" applyBorder="1"/>
    <xf numFmtId="0" fontId="27" fillId="0" borderId="17" xfId="0" applyFont="1" applyFill="1" applyBorder="1" applyAlignment="1" applyProtection="1">
      <alignment horizontal="left" vertical="top" wrapText="1"/>
    </xf>
    <xf numFmtId="3" fontId="27" fillId="0" borderId="2" xfId="0" applyNumberFormat="1" applyFont="1" applyFill="1" applyBorder="1" applyAlignment="1" applyProtection="1">
      <alignment horizontal="right" vertical="top" wrapText="1"/>
    </xf>
    <xf numFmtId="3" fontId="27" fillId="0" borderId="18" xfId="0" applyNumberFormat="1" applyFont="1" applyFill="1" applyBorder="1" applyAlignment="1">
      <alignment vertical="top"/>
    </xf>
    <xf numFmtId="49" fontId="17" fillId="0" borderId="17" xfId="0" applyNumberFormat="1" applyFont="1" applyFill="1" applyBorder="1" applyAlignment="1" applyProtection="1">
      <alignment horizontal="left" vertical="top" wrapText="1"/>
    </xf>
    <xf numFmtId="0" fontId="5" fillId="0" borderId="2" xfId="0" applyFont="1" applyFill="1" applyBorder="1" applyAlignment="1" applyProtection="1">
      <alignment horizontal="left" vertical="top" wrapText="1"/>
    </xf>
    <xf numFmtId="0" fontId="13" fillId="0" borderId="17" xfId="0" applyFont="1" applyFill="1" applyBorder="1" applyAlignment="1" applyProtection="1">
      <alignment horizontal="left" vertical="top" wrapText="1"/>
    </xf>
    <xf numFmtId="0" fontId="22" fillId="0" borderId="2" xfId="0" applyFont="1" applyFill="1" applyBorder="1" applyAlignment="1" applyProtection="1">
      <alignment horizontal="left" vertical="top" wrapText="1"/>
    </xf>
    <xf numFmtId="3" fontId="13" fillId="0" borderId="2" xfId="0" applyNumberFormat="1" applyFont="1" applyFill="1" applyBorder="1" applyAlignment="1" applyProtection="1">
      <alignment horizontal="right" vertical="top" wrapText="1"/>
    </xf>
    <xf numFmtId="3" fontId="17" fillId="0" borderId="22" xfId="0" applyNumberFormat="1" applyFont="1" applyBorder="1" applyAlignment="1" applyProtection="1">
      <alignment horizontal="right" vertical="top" wrapText="1"/>
    </xf>
    <xf numFmtId="3" fontId="17" fillId="0" borderId="31" xfId="0" applyNumberFormat="1" applyFont="1" applyBorder="1" applyAlignment="1" applyProtection="1">
      <alignment horizontal="right" vertical="top" wrapText="1"/>
    </xf>
    <xf numFmtId="3" fontId="17" fillId="0" borderId="40" xfId="0" applyNumberFormat="1" applyFont="1" applyBorder="1" applyAlignment="1" applyProtection="1">
      <alignment horizontal="right" vertical="top" wrapText="1"/>
    </xf>
    <xf numFmtId="3" fontId="17" fillId="0" borderId="41" xfId="0" applyNumberFormat="1" applyFont="1" applyBorder="1" applyAlignment="1" applyProtection="1">
      <alignment horizontal="right" vertical="top" wrapText="1"/>
    </xf>
    <xf numFmtId="3" fontId="17" fillId="0" borderId="42" xfId="0" applyNumberFormat="1" applyFont="1" applyBorder="1" applyAlignment="1" applyProtection="1">
      <alignment horizontal="right" vertical="top" wrapText="1"/>
    </xf>
    <xf numFmtId="3" fontId="5" fillId="0" borderId="23" xfId="0" applyNumberFormat="1" applyFont="1" applyBorder="1"/>
    <xf numFmtId="3" fontId="5" fillId="0" borderId="33" xfId="0" applyNumberFormat="1" applyFont="1" applyBorder="1"/>
    <xf numFmtId="3" fontId="13" fillId="0" borderId="34" xfId="0" applyNumberFormat="1" applyFont="1" applyBorder="1" applyAlignment="1">
      <alignment vertical="top"/>
    </xf>
    <xf numFmtId="3" fontId="5" fillId="0" borderId="2" xfId="0" applyNumberFormat="1" applyFont="1" applyBorder="1"/>
    <xf numFmtId="3" fontId="5" fillId="0" borderId="3" xfId="0" applyNumberFormat="1" applyFont="1" applyBorder="1"/>
    <xf numFmtId="3" fontId="13" fillId="0" borderId="35" xfId="0" applyNumberFormat="1" applyFont="1" applyBorder="1" applyAlignment="1">
      <alignment vertical="top"/>
    </xf>
    <xf numFmtId="0" fontId="17" fillId="0" borderId="2" xfId="0" applyFont="1" applyBorder="1" applyAlignment="1" applyProtection="1">
      <alignment vertical="top" wrapText="1"/>
    </xf>
    <xf numFmtId="0" fontId="18" fillId="0" borderId="3" xfId="0" applyFont="1" applyBorder="1" applyAlignment="1" applyProtection="1">
      <alignment horizontal="center" vertical="top" wrapText="1"/>
    </xf>
    <xf numFmtId="3" fontId="5" fillId="0" borderId="37" xfId="0" applyNumberFormat="1" applyFont="1" applyBorder="1"/>
    <xf numFmtId="3" fontId="5" fillId="0" borderId="38" xfId="0" applyNumberFormat="1" applyFont="1" applyBorder="1"/>
    <xf numFmtId="3" fontId="13" fillId="0" borderId="39" xfId="0" applyNumberFormat="1" applyFont="1" applyBorder="1" applyAlignment="1">
      <alignment vertical="top"/>
    </xf>
    <xf numFmtId="0" fontId="17" fillId="0" borderId="30" xfId="0" applyFont="1" applyBorder="1" applyAlignment="1" applyProtection="1">
      <alignment horizontal="center" vertical="center" wrapText="1"/>
    </xf>
    <xf numFmtId="0" fontId="17" fillId="0" borderId="22" xfId="0" applyFont="1" applyBorder="1" applyAlignment="1" applyProtection="1">
      <alignment horizontal="center" vertical="center" wrapText="1"/>
    </xf>
    <xf numFmtId="0" fontId="17" fillId="0" borderId="32" xfId="0" applyFont="1" applyBorder="1" applyAlignment="1" applyProtection="1">
      <alignment horizontal="center" vertical="top" wrapText="1"/>
    </xf>
    <xf numFmtId="0" fontId="17" fillId="0" borderId="1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center" vertical="top" wrapText="1"/>
    </xf>
    <xf numFmtId="0" fontId="17" fillId="0" borderId="4" xfId="0" applyFont="1" applyBorder="1" applyAlignment="1" applyProtection="1">
      <alignment horizontal="center" vertical="center" wrapText="1"/>
    </xf>
    <xf numFmtId="0" fontId="17" fillId="0" borderId="9" xfId="0" applyFont="1" applyBorder="1" applyAlignment="1" applyProtection="1">
      <alignment horizontal="center" vertical="center" wrapText="1"/>
    </xf>
    <xf numFmtId="0" fontId="17" fillId="0" borderId="5" xfId="0" applyFont="1" applyBorder="1" applyAlignment="1" applyProtection="1">
      <alignment horizontal="center" vertical="center" wrapText="1"/>
    </xf>
    <xf numFmtId="0" fontId="17" fillId="0" borderId="10" xfId="0" applyFont="1" applyBorder="1" applyAlignment="1" applyProtection="1">
      <alignment horizontal="center" vertical="center" wrapText="1"/>
    </xf>
    <xf numFmtId="3" fontId="17" fillId="0" borderId="6" xfId="0" applyNumberFormat="1" applyFont="1" applyBorder="1" applyAlignment="1" applyProtection="1">
      <alignment horizontal="center" vertical="center" wrapText="1"/>
    </xf>
    <xf numFmtId="3" fontId="17" fillId="0" borderId="11" xfId="0" applyNumberFormat="1" applyFont="1" applyBorder="1" applyAlignment="1" applyProtection="1">
      <alignment horizontal="center" vertical="center" wrapText="1"/>
    </xf>
    <xf numFmtId="3" fontId="17" fillId="0" borderId="7" xfId="0" applyNumberFormat="1" applyFont="1" applyBorder="1" applyAlignment="1" applyProtection="1">
      <alignment horizontal="center" vertical="center" wrapText="1"/>
    </xf>
    <xf numFmtId="3" fontId="17" fillId="0" borderId="12" xfId="0" applyNumberFormat="1" applyFont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13" xfId="0" applyFont="1" applyBorder="1" applyAlignment="1" applyProtection="1">
      <alignment horizontal="center" vertical="center" wrapText="1"/>
    </xf>
    <xf numFmtId="3" fontId="17" fillId="0" borderId="8" xfId="0" applyNumberFormat="1" applyFont="1" applyBorder="1" applyAlignment="1" applyProtection="1">
      <alignment horizontal="center" vertical="top" wrapText="1"/>
    </xf>
    <xf numFmtId="3" fontId="17" fillId="0" borderId="13" xfId="0" applyNumberFormat="1" applyFont="1" applyBorder="1" applyAlignment="1" applyProtection="1">
      <alignment horizontal="center" vertical="top" wrapText="1"/>
    </xf>
    <xf numFmtId="0" fontId="13" fillId="0" borderId="17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20" fillId="0" borderId="32" xfId="0" applyFont="1" applyBorder="1" applyAlignment="1" applyProtection="1">
      <alignment horizontal="center" vertical="top" wrapText="1"/>
    </xf>
    <xf numFmtId="0" fontId="20" fillId="0" borderId="1" xfId="0" applyFont="1" applyBorder="1" applyAlignment="1" applyProtection="1">
      <alignment horizontal="center" vertical="top" wrapText="1"/>
    </xf>
    <xf numFmtId="0" fontId="17" fillId="0" borderId="43" xfId="0" applyFont="1" applyBorder="1" applyAlignment="1" applyProtection="1">
      <alignment horizontal="center" vertical="center" wrapText="1"/>
    </xf>
    <xf numFmtId="0" fontId="17" fillId="0" borderId="24" xfId="0" applyFont="1" applyBorder="1" applyAlignment="1" applyProtection="1">
      <alignment horizontal="center" vertical="center" wrapText="1"/>
    </xf>
    <xf numFmtId="0" fontId="13" fillId="0" borderId="36" xfId="0" applyFont="1" applyBorder="1" applyAlignment="1">
      <alignment horizontal="center"/>
    </xf>
    <xf numFmtId="0" fontId="13" fillId="0" borderId="37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688"/>
  <sheetViews>
    <sheetView tabSelected="1" topLeftCell="B1" zoomScaleNormal="100" workbookViewId="0">
      <selection activeCell="AC24" sqref="AC24"/>
    </sheetView>
  </sheetViews>
  <sheetFormatPr defaultRowHeight="12.75"/>
  <cols>
    <col min="1" max="1" width="8.85546875" hidden="1" customWidth="1"/>
    <col min="2" max="2" width="8.85546875" customWidth="1"/>
    <col min="3" max="3" width="10.140625" style="35" customWidth="1"/>
    <col min="4" max="4" width="62" style="35" customWidth="1"/>
    <col min="5" max="7" width="12.5703125" style="36" hidden="1" customWidth="1"/>
    <col min="8" max="8" width="0.7109375" style="36" hidden="1" customWidth="1"/>
    <col min="9" max="9" width="17.42578125" style="38" customWidth="1"/>
    <col min="10" max="13" width="10.7109375" style="6" hidden="1" customWidth="1"/>
    <col min="14" max="14" width="10.7109375" style="7" hidden="1" customWidth="1"/>
    <col min="15" max="17" width="10.7109375" style="8" hidden="1" customWidth="1"/>
    <col min="18" max="18" width="10.7109375" style="7" hidden="1" customWidth="1"/>
    <col min="19" max="19" width="12.85546875" hidden="1" customWidth="1"/>
    <col min="20" max="21" width="10.7109375" customWidth="1"/>
  </cols>
  <sheetData>
    <row r="1" spans="1:21" ht="14.25" customHeight="1">
      <c r="A1" s="1"/>
      <c r="B1" s="1"/>
      <c r="C1" s="147"/>
      <c r="D1" s="147"/>
      <c r="E1" s="2"/>
      <c r="F1" s="2"/>
      <c r="G1" s="2"/>
      <c r="H1" s="3"/>
      <c r="I1" s="4" t="s">
        <v>257</v>
      </c>
      <c r="J1" s="5"/>
    </row>
    <row r="2" spans="1:21" ht="20.100000000000001" customHeight="1">
      <c r="A2" s="1"/>
      <c r="B2" s="1"/>
      <c r="C2" s="148" t="s">
        <v>0</v>
      </c>
      <c r="D2" s="148"/>
      <c r="E2" s="148"/>
      <c r="F2" s="148"/>
      <c r="G2" s="148"/>
      <c r="H2" s="148"/>
      <c r="I2" s="148"/>
      <c r="J2" s="5"/>
    </row>
    <row r="3" spans="1:21" ht="16.5" customHeight="1">
      <c r="A3" s="1"/>
      <c r="B3" s="1"/>
      <c r="C3" s="148"/>
      <c r="D3" s="148"/>
      <c r="E3" s="148"/>
      <c r="F3" s="148"/>
      <c r="G3" s="148"/>
      <c r="H3" s="148"/>
      <c r="I3" s="148"/>
      <c r="J3" s="5"/>
    </row>
    <row r="4" spans="1:21" ht="22.5" customHeight="1">
      <c r="A4" s="1"/>
      <c r="B4" s="1"/>
      <c r="C4" s="149" t="s">
        <v>1</v>
      </c>
      <c r="D4" s="149"/>
      <c r="E4" s="149"/>
      <c r="F4" s="149"/>
      <c r="G4" s="149"/>
      <c r="H4" s="149"/>
      <c r="I4" s="149"/>
      <c r="J4" s="5"/>
    </row>
    <row r="5" spans="1:21" ht="22.5" customHeight="1" thickBot="1">
      <c r="A5" s="1"/>
      <c r="B5" s="1"/>
      <c r="C5" s="9"/>
      <c r="D5" s="9"/>
      <c r="E5" s="9"/>
      <c r="F5" s="9"/>
      <c r="G5" s="9"/>
      <c r="H5" s="9"/>
      <c r="I5" s="9" t="s">
        <v>2</v>
      </c>
      <c r="J5" s="5"/>
    </row>
    <row r="6" spans="1:21" ht="14.1" customHeight="1">
      <c r="A6" s="1"/>
      <c r="B6" s="1"/>
      <c r="C6" s="150" t="s">
        <v>3</v>
      </c>
      <c r="D6" s="152" t="s">
        <v>4</v>
      </c>
      <c r="E6" s="154" t="s">
        <v>5</v>
      </c>
      <c r="F6" s="156" t="s">
        <v>6</v>
      </c>
      <c r="G6" s="156" t="s">
        <v>7</v>
      </c>
      <c r="H6" s="158" t="s">
        <v>8</v>
      </c>
      <c r="I6" s="160" t="s">
        <v>9</v>
      </c>
      <c r="J6" s="5"/>
    </row>
    <row r="7" spans="1:21" ht="33.950000000000003" customHeight="1" thickBot="1">
      <c r="A7" s="1"/>
      <c r="B7" s="1"/>
      <c r="C7" s="151"/>
      <c r="D7" s="153"/>
      <c r="E7" s="155"/>
      <c r="F7" s="157"/>
      <c r="G7" s="157"/>
      <c r="H7" s="159"/>
      <c r="I7" s="161"/>
      <c r="J7" s="5"/>
    </row>
    <row r="8" spans="1:21" ht="14.25" customHeight="1">
      <c r="A8" s="1"/>
      <c r="B8" s="1"/>
      <c r="C8" s="41" t="s">
        <v>10</v>
      </c>
      <c r="D8" s="42" t="s">
        <v>11</v>
      </c>
      <c r="E8" s="43">
        <v>178624337.22</v>
      </c>
      <c r="F8" s="43">
        <v>156259039.22</v>
      </c>
      <c r="G8" s="43">
        <v>104197116.68999998</v>
      </c>
      <c r="H8" s="43">
        <f t="shared" ref="H8:H82" si="0">(G8/9)*12</f>
        <v>138929488.91999999</v>
      </c>
      <c r="I8" s="44">
        <f>I9+I23+I28+I31+I35+I37+I44+I46+I51+I54+I60+I70+I72+I76+I63+I67+I58+I74+I41+I65+I33+I39</f>
        <v>187947051</v>
      </c>
      <c r="J8" s="5"/>
    </row>
    <row r="9" spans="1:21" ht="26.25" customHeight="1">
      <c r="A9" s="1"/>
      <c r="B9" s="1"/>
      <c r="C9" s="45" t="s">
        <v>12</v>
      </c>
      <c r="D9" s="46" t="s">
        <v>13</v>
      </c>
      <c r="E9" s="47">
        <v>47707879</v>
      </c>
      <c r="F9" s="47">
        <v>39485466</v>
      </c>
      <c r="G9" s="47">
        <v>30165063.18</v>
      </c>
      <c r="H9" s="47">
        <f t="shared" si="0"/>
        <v>40220084.239999995</v>
      </c>
      <c r="I9" s="48">
        <f>I10+I11+I12+I13+I14+I15+I16+I17+I18+I19+I20+I21+I22</f>
        <v>53345658</v>
      </c>
      <c r="J9" s="5"/>
    </row>
    <row r="10" spans="1:21" ht="12" customHeight="1">
      <c r="A10" s="1"/>
      <c r="B10" s="1"/>
      <c r="C10" s="49" t="s">
        <v>14</v>
      </c>
      <c r="D10" s="50" t="s">
        <v>15</v>
      </c>
      <c r="E10" s="51">
        <v>34552503</v>
      </c>
      <c r="F10" s="51">
        <v>28009600</v>
      </c>
      <c r="G10" s="51">
        <v>22590836.969999999</v>
      </c>
      <c r="H10" s="51">
        <f t="shared" si="0"/>
        <v>30121115.960000001</v>
      </c>
      <c r="I10" s="52">
        <v>37467816</v>
      </c>
      <c r="J10" s="5"/>
      <c r="S10" s="10"/>
      <c r="T10" s="10"/>
      <c r="U10" s="10"/>
    </row>
    <row r="11" spans="1:21" ht="12" customHeight="1">
      <c r="A11" s="1"/>
      <c r="B11" s="1"/>
      <c r="C11" s="49" t="s">
        <v>16</v>
      </c>
      <c r="D11" s="50" t="s">
        <v>17</v>
      </c>
      <c r="E11" s="51">
        <v>7601510</v>
      </c>
      <c r="F11" s="51">
        <v>6162200</v>
      </c>
      <c r="G11" s="51">
        <v>4980637.58</v>
      </c>
      <c r="H11" s="51">
        <f t="shared" si="0"/>
        <v>6640850.1066666674</v>
      </c>
      <c r="I11" s="52">
        <v>8242920</v>
      </c>
      <c r="J11" s="5"/>
      <c r="S11" s="10"/>
      <c r="T11" s="10"/>
      <c r="U11" s="10"/>
    </row>
    <row r="12" spans="1:21" ht="14.25" customHeight="1">
      <c r="A12" s="1"/>
      <c r="B12" s="1"/>
      <c r="C12" s="49" t="s">
        <v>18</v>
      </c>
      <c r="D12" s="53" t="s">
        <v>19</v>
      </c>
      <c r="E12" s="51">
        <v>1077650</v>
      </c>
      <c r="F12" s="51">
        <v>1077650</v>
      </c>
      <c r="G12" s="51">
        <v>623549.39</v>
      </c>
      <c r="H12" s="51">
        <f t="shared" si="0"/>
        <v>831399.18666666665</v>
      </c>
      <c r="I12" s="52">
        <v>1493000</v>
      </c>
      <c r="J12" s="5"/>
      <c r="S12" s="10"/>
      <c r="T12" s="10"/>
      <c r="U12" s="10"/>
    </row>
    <row r="13" spans="1:21" ht="12.75" customHeight="1">
      <c r="A13" s="1"/>
      <c r="B13" s="1"/>
      <c r="C13" s="49" t="s">
        <v>20</v>
      </c>
      <c r="D13" s="53" t="s">
        <v>21</v>
      </c>
      <c r="E13" s="51">
        <v>1423340</v>
      </c>
      <c r="F13" s="51">
        <v>1423340</v>
      </c>
      <c r="G13" s="51">
        <v>574687.09</v>
      </c>
      <c r="H13" s="51">
        <f t="shared" si="0"/>
        <v>766249.45333333325</v>
      </c>
      <c r="I13" s="52">
        <v>600500</v>
      </c>
      <c r="J13" s="5"/>
      <c r="S13" s="10"/>
      <c r="T13" s="10"/>
      <c r="U13" s="10"/>
    </row>
    <row r="14" spans="1:21" ht="12" customHeight="1">
      <c r="A14" s="1"/>
      <c r="B14" s="1"/>
      <c r="C14" s="49" t="s">
        <v>22</v>
      </c>
      <c r="D14" s="53" t="s">
        <v>23</v>
      </c>
      <c r="E14" s="51">
        <v>100000</v>
      </c>
      <c r="F14" s="51">
        <v>100000</v>
      </c>
      <c r="G14" s="51">
        <v>0</v>
      </c>
      <c r="H14" s="51">
        <f t="shared" si="0"/>
        <v>0</v>
      </c>
      <c r="I14" s="52">
        <v>100000</v>
      </c>
      <c r="J14" s="5"/>
    </row>
    <row r="15" spans="1:21" ht="17.25" customHeight="1">
      <c r="A15" s="1"/>
      <c r="B15" s="1"/>
      <c r="C15" s="49" t="s">
        <v>24</v>
      </c>
      <c r="D15" s="53" t="s">
        <v>25</v>
      </c>
      <c r="E15" s="51">
        <v>370000</v>
      </c>
      <c r="F15" s="51">
        <v>370000</v>
      </c>
      <c r="G15" s="51">
        <v>179494.01</v>
      </c>
      <c r="H15" s="51">
        <f t="shared" si="0"/>
        <v>239325.34666666668</v>
      </c>
      <c r="I15" s="52">
        <v>495500</v>
      </c>
      <c r="J15" s="5"/>
    </row>
    <row r="16" spans="1:21" ht="12.75" customHeight="1">
      <c r="A16" s="1"/>
      <c r="B16" s="1"/>
      <c r="C16" s="49" t="s">
        <v>26</v>
      </c>
      <c r="D16" s="53" t="s">
        <v>27</v>
      </c>
      <c r="E16" s="51">
        <v>15000</v>
      </c>
      <c r="F16" s="51">
        <v>11800</v>
      </c>
      <c r="G16" s="51">
        <v>7662</v>
      </c>
      <c r="H16" s="51">
        <f t="shared" si="0"/>
        <v>10216</v>
      </c>
      <c r="I16" s="52">
        <v>56775</v>
      </c>
      <c r="J16" s="5"/>
    </row>
    <row r="17" spans="1:28" ht="12" customHeight="1">
      <c r="A17" s="1"/>
      <c r="B17" s="1"/>
      <c r="C17" s="49" t="s">
        <v>28</v>
      </c>
      <c r="D17" s="53" t="s">
        <v>29</v>
      </c>
      <c r="E17" s="51">
        <v>1160000</v>
      </c>
      <c r="F17" s="51">
        <v>944000</v>
      </c>
      <c r="G17" s="51">
        <v>696616.54</v>
      </c>
      <c r="H17" s="51">
        <f t="shared" si="0"/>
        <v>928822.05333333334</v>
      </c>
      <c r="I17" s="52">
        <v>2632032</v>
      </c>
      <c r="J17" s="5"/>
    </row>
    <row r="18" spans="1:28" ht="12" customHeight="1">
      <c r="A18" s="1"/>
      <c r="B18" s="1"/>
      <c r="C18" s="49" t="s">
        <v>30</v>
      </c>
      <c r="D18" s="53" t="s">
        <v>31</v>
      </c>
      <c r="E18" s="51">
        <v>596876</v>
      </c>
      <c r="F18" s="51">
        <v>596876</v>
      </c>
      <c r="G18" s="51">
        <v>291345.25</v>
      </c>
      <c r="H18" s="51">
        <f t="shared" si="0"/>
        <v>388460.33333333337</v>
      </c>
      <c r="I18" s="52">
        <v>897515</v>
      </c>
      <c r="J18" s="5"/>
    </row>
    <row r="19" spans="1:28" ht="20.100000000000001" customHeight="1">
      <c r="A19" s="1"/>
      <c r="B19" s="1"/>
      <c r="C19" s="49" t="s">
        <v>32</v>
      </c>
      <c r="D19" s="53" t="s">
        <v>33</v>
      </c>
      <c r="E19" s="51">
        <v>581000</v>
      </c>
      <c r="F19" s="51">
        <v>560000</v>
      </c>
      <c r="G19" s="51">
        <v>71372.639999999999</v>
      </c>
      <c r="H19" s="51">
        <f t="shared" si="0"/>
        <v>95163.51999999999</v>
      </c>
      <c r="I19" s="52">
        <v>509600</v>
      </c>
      <c r="J19" s="5"/>
    </row>
    <row r="20" spans="1:28" ht="25.5" customHeight="1">
      <c r="A20" s="1"/>
      <c r="B20" s="1"/>
      <c r="C20" s="49" t="s">
        <v>34</v>
      </c>
      <c r="D20" s="53" t="s">
        <v>35</v>
      </c>
      <c r="E20" s="51">
        <v>30000</v>
      </c>
      <c r="F20" s="51">
        <v>30000</v>
      </c>
      <c r="G20" s="51">
        <v>0</v>
      </c>
      <c r="H20" s="51">
        <f t="shared" si="0"/>
        <v>0</v>
      </c>
      <c r="I20" s="52">
        <v>30000</v>
      </c>
      <c r="J20" s="5"/>
    </row>
    <row r="21" spans="1:28" ht="12" customHeight="1">
      <c r="A21" s="1"/>
      <c r="B21" s="1"/>
      <c r="C21" s="49" t="s">
        <v>36</v>
      </c>
      <c r="D21" s="53" t="s">
        <v>37</v>
      </c>
      <c r="E21" s="51">
        <v>200000</v>
      </c>
      <c r="F21" s="51">
        <v>200000</v>
      </c>
      <c r="G21" s="51">
        <v>148861.71</v>
      </c>
      <c r="H21" s="51">
        <f t="shared" si="0"/>
        <v>198482.27999999997</v>
      </c>
      <c r="I21" s="52">
        <v>320000</v>
      </c>
      <c r="J21" s="5"/>
    </row>
    <row r="22" spans="1:28" ht="13.5" customHeight="1">
      <c r="A22" s="1"/>
      <c r="B22" s="1"/>
      <c r="C22" s="53">
        <v>3110</v>
      </c>
      <c r="D22" s="53" t="s">
        <v>38</v>
      </c>
      <c r="E22" s="54"/>
      <c r="F22" s="54"/>
      <c r="G22" s="54"/>
      <c r="H22" s="54"/>
      <c r="I22" s="55">
        <v>500000</v>
      </c>
      <c r="J22" s="11"/>
      <c r="K22" s="12"/>
      <c r="L22" s="12"/>
    </row>
    <row r="23" spans="1:28" ht="16.5" customHeight="1">
      <c r="A23" s="1"/>
      <c r="B23" s="1"/>
      <c r="C23" s="45" t="s">
        <v>39</v>
      </c>
      <c r="D23" s="46" t="s">
        <v>40</v>
      </c>
      <c r="E23" s="47">
        <v>4481005</v>
      </c>
      <c r="F23" s="47">
        <v>3461705</v>
      </c>
      <c r="G23" s="47">
        <v>1941950.66</v>
      </c>
      <c r="H23" s="47">
        <f t="shared" si="0"/>
        <v>2589267.5466666669</v>
      </c>
      <c r="I23" s="48">
        <f>I24+I26+I27+I25</f>
        <v>7194678</v>
      </c>
      <c r="J23" s="5"/>
    </row>
    <row r="24" spans="1:28" ht="12" customHeight="1">
      <c r="A24" s="1"/>
      <c r="B24" s="1"/>
      <c r="C24" s="49" t="s">
        <v>20</v>
      </c>
      <c r="D24" s="56" t="s">
        <v>41</v>
      </c>
      <c r="E24" s="51">
        <v>400000</v>
      </c>
      <c r="F24" s="51">
        <v>400000</v>
      </c>
      <c r="G24" s="51">
        <v>8214</v>
      </c>
      <c r="H24" s="51">
        <f t="shared" si="0"/>
        <v>10952</v>
      </c>
      <c r="I24" s="52">
        <v>150000</v>
      </c>
      <c r="J24" s="13"/>
      <c r="K24" s="14"/>
      <c r="L24" s="14"/>
      <c r="M24" s="14"/>
      <c r="N24" s="15"/>
    </row>
    <row r="25" spans="1:28" ht="12" customHeight="1">
      <c r="A25" s="1"/>
      <c r="B25" s="1"/>
      <c r="C25" s="49">
        <v>2240</v>
      </c>
      <c r="D25" s="56" t="s">
        <v>42</v>
      </c>
      <c r="E25" s="51"/>
      <c r="F25" s="51"/>
      <c r="G25" s="51"/>
      <c r="H25" s="51"/>
      <c r="I25" s="52">
        <v>2100000</v>
      </c>
      <c r="J25" s="13"/>
      <c r="K25" s="14"/>
      <c r="L25" s="14"/>
      <c r="M25" s="14"/>
      <c r="N25" s="15"/>
    </row>
    <row r="26" spans="1:28" ht="24.75" customHeight="1">
      <c r="A26" s="1"/>
      <c r="B26" s="1"/>
      <c r="C26" s="49" t="s">
        <v>34</v>
      </c>
      <c r="D26" s="56" t="s">
        <v>43</v>
      </c>
      <c r="E26" s="51">
        <v>1094081</v>
      </c>
      <c r="F26" s="51">
        <v>700081</v>
      </c>
      <c r="G26" s="51">
        <v>151179.75</v>
      </c>
      <c r="H26" s="51">
        <f t="shared" si="0"/>
        <v>201573</v>
      </c>
      <c r="I26" s="52">
        <v>1332000</v>
      </c>
      <c r="J26" s="5"/>
    </row>
    <row r="27" spans="1:28" ht="24" customHeight="1">
      <c r="A27" s="1"/>
      <c r="B27" s="1"/>
      <c r="C27" s="49" t="s">
        <v>44</v>
      </c>
      <c r="D27" s="56" t="s">
        <v>45</v>
      </c>
      <c r="E27" s="51">
        <v>2986924</v>
      </c>
      <c r="F27" s="51">
        <v>2361624</v>
      </c>
      <c r="G27" s="51">
        <v>1782556.91</v>
      </c>
      <c r="H27" s="51">
        <f t="shared" si="0"/>
        <v>2376742.5466666664</v>
      </c>
      <c r="I27" s="52">
        <v>3612678</v>
      </c>
      <c r="J27" s="5"/>
    </row>
    <row r="28" spans="1:28" ht="20.100000000000001" customHeight="1">
      <c r="A28" s="1"/>
      <c r="B28" s="1"/>
      <c r="C28" s="57" t="s">
        <v>46</v>
      </c>
      <c r="D28" s="58" t="s">
        <v>47</v>
      </c>
      <c r="E28" s="59">
        <v>6870000</v>
      </c>
      <c r="F28" s="59">
        <v>4850000</v>
      </c>
      <c r="G28" s="59">
        <v>2501686.79</v>
      </c>
      <c r="H28" s="59">
        <f t="shared" si="0"/>
        <v>3335582.3866666667</v>
      </c>
      <c r="I28" s="60">
        <f>I29+I30</f>
        <v>15823902</v>
      </c>
      <c r="J28" s="5"/>
    </row>
    <row r="29" spans="1:28" s="8" customFormat="1" ht="37.5" customHeight="1">
      <c r="A29" s="1"/>
      <c r="B29" s="1"/>
      <c r="C29" s="61" t="s">
        <v>44</v>
      </c>
      <c r="D29" s="62" t="s">
        <v>242</v>
      </c>
      <c r="E29" s="63">
        <v>6870000</v>
      </c>
      <c r="F29" s="63">
        <v>4850000</v>
      </c>
      <c r="G29" s="63">
        <v>2501686.79</v>
      </c>
      <c r="H29" s="63">
        <f t="shared" si="0"/>
        <v>3335582.3866666667</v>
      </c>
      <c r="I29" s="64">
        <v>15323902</v>
      </c>
      <c r="J29" s="5"/>
      <c r="K29" s="6"/>
      <c r="L29" s="6"/>
      <c r="M29" s="6"/>
      <c r="N29" s="7"/>
      <c r="R29" s="7"/>
      <c r="S29"/>
      <c r="T29"/>
      <c r="U29"/>
      <c r="V29"/>
      <c r="W29"/>
      <c r="X29"/>
      <c r="Y29"/>
      <c r="Z29"/>
      <c r="AA29"/>
      <c r="AB29"/>
    </row>
    <row r="30" spans="1:28" s="8" customFormat="1" ht="37.5" customHeight="1">
      <c r="A30" s="1"/>
      <c r="B30" s="1"/>
      <c r="C30" s="61" t="s">
        <v>44</v>
      </c>
      <c r="D30" s="62" t="s">
        <v>242</v>
      </c>
      <c r="E30" s="63">
        <v>6870000</v>
      </c>
      <c r="F30" s="63">
        <v>4850000</v>
      </c>
      <c r="G30" s="63">
        <v>2501686.79</v>
      </c>
      <c r="H30" s="63">
        <f t="shared" ref="H30" si="1">(G30/9)*12</f>
        <v>3335582.3866666667</v>
      </c>
      <c r="I30" s="64">
        <v>500000</v>
      </c>
      <c r="J30" s="5"/>
      <c r="K30" s="6"/>
      <c r="L30" s="6"/>
      <c r="M30" s="6"/>
      <c r="N30" s="7"/>
      <c r="R30" s="7"/>
      <c r="S30"/>
      <c r="T30"/>
      <c r="U30"/>
      <c r="V30"/>
      <c r="W30"/>
      <c r="X30"/>
      <c r="Y30"/>
      <c r="Z30"/>
      <c r="AA30"/>
      <c r="AB30"/>
    </row>
    <row r="31" spans="1:28" s="8" customFormat="1" ht="16.5" customHeight="1">
      <c r="A31" s="1"/>
      <c r="B31" s="1"/>
      <c r="C31" s="65" t="s">
        <v>48</v>
      </c>
      <c r="D31" s="66" t="s">
        <v>49</v>
      </c>
      <c r="E31" s="67">
        <v>1487181.6099999999</v>
      </c>
      <c r="F31" s="67">
        <v>1427261.6099999999</v>
      </c>
      <c r="G31" s="67">
        <v>576909.41</v>
      </c>
      <c r="H31" s="67">
        <f t="shared" si="0"/>
        <v>769212.54666666675</v>
      </c>
      <c r="I31" s="68">
        <f>I32</f>
        <v>4500000</v>
      </c>
      <c r="J31" s="5"/>
      <c r="K31" s="6"/>
      <c r="L31" s="6"/>
      <c r="M31" s="6"/>
      <c r="N31" s="7"/>
      <c r="R31" s="7"/>
      <c r="S31"/>
      <c r="T31"/>
      <c r="U31"/>
      <c r="V31"/>
      <c r="W31"/>
      <c r="X31"/>
      <c r="Y31"/>
      <c r="Z31"/>
      <c r="AA31"/>
      <c r="AB31"/>
    </row>
    <row r="32" spans="1:28" s="8" customFormat="1" ht="37.5" customHeight="1">
      <c r="A32" s="1"/>
      <c r="B32" s="1"/>
      <c r="C32" s="69" t="s">
        <v>44</v>
      </c>
      <c r="D32" s="70" t="s">
        <v>50</v>
      </c>
      <c r="E32" s="71">
        <v>1487181.6099999999</v>
      </c>
      <c r="F32" s="71">
        <v>1427261.6099999999</v>
      </c>
      <c r="G32" s="71">
        <v>576909.41</v>
      </c>
      <c r="H32" s="71">
        <f t="shared" si="0"/>
        <v>769212.54666666675</v>
      </c>
      <c r="I32" s="55">
        <v>4500000</v>
      </c>
      <c r="J32" s="5"/>
      <c r="K32" s="6"/>
      <c r="L32" s="6"/>
      <c r="M32" s="6"/>
      <c r="N32" s="7"/>
      <c r="R32" s="7"/>
      <c r="S32"/>
      <c r="T32"/>
      <c r="U32"/>
      <c r="V32"/>
      <c r="W32"/>
      <c r="X32"/>
      <c r="Y32"/>
      <c r="Z32"/>
      <c r="AA32"/>
      <c r="AB32"/>
    </row>
    <row r="33" spans="1:28" s="8" customFormat="1" ht="27" customHeight="1">
      <c r="A33" s="1"/>
      <c r="B33" s="1"/>
      <c r="C33" s="65">
        <v>212111</v>
      </c>
      <c r="D33" s="72" t="s">
        <v>51</v>
      </c>
      <c r="E33" s="71"/>
      <c r="F33" s="71"/>
      <c r="G33" s="71"/>
      <c r="H33" s="71"/>
      <c r="I33" s="68">
        <f>I34</f>
        <v>390000</v>
      </c>
      <c r="J33" s="5"/>
      <c r="K33" s="6"/>
      <c r="L33" s="6"/>
      <c r="M33" s="6"/>
      <c r="N33" s="7"/>
      <c r="R33" s="7"/>
      <c r="S33"/>
      <c r="T33"/>
      <c r="U33"/>
      <c r="V33"/>
      <c r="W33"/>
      <c r="X33"/>
      <c r="Y33"/>
      <c r="Z33"/>
      <c r="AA33"/>
      <c r="AB33"/>
    </row>
    <row r="34" spans="1:28" s="8" customFormat="1" ht="27.75" customHeight="1">
      <c r="A34" s="1"/>
      <c r="B34" s="1"/>
      <c r="C34" s="69">
        <v>2610</v>
      </c>
      <c r="D34" s="70" t="s">
        <v>52</v>
      </c>
      <c r="E34" s="71"/>
      <c r="F34" s="71"/>
      <c r="G34" s="71"/>
      <c r="H34" s="71"/>
      <c r="I34" s="55">
        <v>390000</v>
      </c>
      <c r="J34" s="5"/>
      <c r="K34" s="6"/>
      <c r="L34" s="6"/>
      <c r="M34" s="6"/>
      <c r="N34" s="7"/>
      <c r="R34" s="7"/>
      <c r="S34"/>
      <c r="T34"/>
      <c r="U34"/>
      <c r="V34"/>
      <c r="W34"/>
      <c r="X34"/>
      <c r="Y34"/>
      <c r="Z34"/>
      <c r="AA34"/>
      <c r="AB34"/>
    </row>
    <row r="35" spans="1:28" s="8" customFormat="1" ht="24.75" customHeight="1">
      <c r="A35" s="1"/>
      <c r="B35" s="1"/>
      <c r="C35" s="57">
        <v>212113</v>
      </c>
      <c r="D35" s="58" t="s">
        <v>243</v>
      </c>
      <c r="E35" s="59">
        <v>1646459.38</v>
      </c>
      <c r="F35" s="59">
        <v>1646459.38</v>
      </c>
      <c r="G35" s="59">
        <v>159067.39000000001</v>
      </c>
      <c r="H35" s="59">
        <f t="shared" si="0"/>
        <v>212089.85333333333</v>
      </c>
      <c r="I35" s="60">
        <f>I36</f>
        <v>3031930</v>
      </c>
      <c r="J35" s="5"/>
      <c r="K35" s="6"/>
      <c r="L35" s="6"/>
      <c r="M35" s="6"/>
      <c r="N35" s="7"/>
      <c r="R35" s="7"/>
      <c r="S35"/>
      <c r="T35"/>
      <c r="U35"/>
      <c r="V35"/>
      <c r="W35"/>
      <c r="X35"/>
      <c r="Y35"/>
      <c r="Z35"/>
      <c r="AA35"/>
      <c r="AB35"/>
    </row>
    <row r="36" spans="1:28" s="8" customFormat="1" ht="36" customHeight="1">
      <c r="A36" s="1"/>
      <c r="B36" s="1"/>
      <c r="C36" s="61" t="s">
        <v>44</v>
      </c>
      <c r="D36" s="62" t="s">
        <v>53</v>
      </c>
      <c r="E36" s="63">
        <v>1646459.38</v>
      </c>
      <c r="F36" s="63">
        <v>1646459.38</v>
      </c>
      <c r="G36" s="63">
        <v>159067.39000000001</v>
      </c>
      <c r="H36" s="63">
        <f t="shared" si="0"/>
        <v>212089.85333333333</v>
      </c>
      <c r="I36" s="64">
        <v>3031930</v>
      </c>
      <c r="J36" s="5" t="s">
        <v>54</v>
      </c>
      <c r="K36" s="6"/>
      <c r="L36" s="6"/>
      <c r="M36" s="6"/>
      <c r="N36" s="7"/>
      <c r="R36" s="7"/>
      <c r="S36"/>
      <c r="T36"/>
      <c r="U36"/>
      <c r="V36"/>
      <c r="W36"/>
      <c r="X36"/>
      <c r="Y36"/>
      <c r="Z36"/>
      <c r="AA36"/>
      <c r="AB36"/>
    </row>
    <row r="37" spans="1:28" s="8" customFormat="1" ht="20.100000000000001" customHeight="1">
      <c r="A37" s="1"/>
      <c r="B37" s="1"/>
      <c r="C37" s="57" t="s">
        <v>55</v>
      </c>
      <c r="D37" s="58" t="s">
        <v>56</v>
      </c>
      <c r="E37" s="59">
        <v>19268516.009999998</v>
      </c>
      <c r="F37" s="59">
        <v>18472166.009999998</v>
      </c>
      <c r="G37" s="59">
        <v>9994479.0299999993</v>
      </c>
      <c r="H37" s="59">
        <f t="shared" si="0"/>
        <v>13325972.039999999</v>
      </c>
      <c r="I37" s="60">
        <f>I38</f>
        <v>5855145</v>
      </c>
      <c r="J37" s="5"/>
      <c r="K37" s="6"/>
      <c r="L37" s="6"/>
      <c r="M37" s="6"/>
      <c r="N37" s="7"/>
      <c r="R37" s="7"/>
      <c r="S37"/>
      <c r="T37"/>
      <c r="U37"/>
      <c r="V37"/>
      <c r="W37"/>
      <c r="X37"/>
      <c r="Y37"/>
      <c r="Z37"/>
      <c r="AA37"/>
      <c r="AB37"/>
    </row>
    <row r="38" spans="1:28" s="8" customFormat="1" ht="35.25" customHeight="1">
      <c r="A38" s="1"/>
      <c r="B38" s="1"/>
      <c r="C38" s="61" t="s">
        <v>44</v>
      </c>
      <c r="D38" s="62" t="s">
        <v>244</v>
      </c>
      <c r="E38" s="63">
        <v>19268516.009999998</v>
      </c>
      <c r="F38" s="63">
        <v>18472166.009999998</v>
      </c>
      <c r="G38" s="63">
        <v>9994479.0299999993</v>
      </c>
      <c r="H38" s="63">
        <f t="shared" si="0"/>
        <v>13325972.039999999</v>
      </c>
      <c r="I38" s="64">
        <f>2355145+3500000</f>
        <v>5855145</v>
      </c>
      <c r="J38" s="5" t="s">
        <v>57</v>
      </c>
      <c r="K38" s="6"/>
      <c r="L38" s="6"/>
      <c r="M38" s="6"/>
      <c r="N38" s="7"/>
      <c r="R38" s="7"/>
      <c r="S38"/>
      <c r="T38"/>
      <c r="U38"/>
      <c r="V38"/>
      <c r="W38"/>
      <c r="X38"/>
      <c r="Y38"/>
      <c r="Z38"/>
      <c r="AA38"/>
      <c r="AB38"/>
    </row>
    <row r="39" spans="1:28" s="8" customFormat="1" ht="26.25" customHeight="1">
      <c r="A39" s="1"/>
      <c r="B39" s="1"/>
      <c r="C39" s="45" t="s">
        <v>238</v>
      </c>
      <c r="D39" s="46" t="s">
        <v>239</v>
      </c>
      <c r="E39" s="63"/>
      <c r="F39" s="63"/>
      <c r="G39" s="63"/>
      <c r="H39" s="63"/>
      <c r="I39" s="60">
        <f>I40</f>
        <v>1360600</v>
      </c>
      <c r="J39" s="5"/>
      <c r="K39" s="6"/>
      <c r="L39" s="6"/>
      <c r="M39" s="6"/>
      <c r="N39" s="7"/>
      <c r="R39" s="7"/>
      <c r="S39"/>
      <c r="T39"/>
      <c r="U39"/>
      <c r="V39"/>
      <c r="W39"/>
      <c r="X39"/>
      <c r="Y39"/>
      <c r="Z39"/>
      <c r="AA39"/>
      <c r="AB39"/>
    </row>
    <row r="40" spans="1:28" s="8" customFormat="1" ht="15" customHeight="1">
      <c r="A40" s="1"/>
      <c r="B40" s="1"/>
      <c r="C40" s="49" t="s">
        <v>44</v>
      </c>
      <c r="D40" s="50" t="s">
        <v>60</v>
      </c>
      <c r="E40" s="63"/>
      <c r="F40" s="63"/>
      <c r="G40" s="63"/>
      <c r="H40" s="63"/>
      <c r="I40" s="73">
        <v>1360600</v>
      </c>
      <c r="J40" s="5"/>
      <c r="K40" s="6"/>
      <c r="L40" s="6"/>
      <c r="M40" s="6"/>
      <c r="N40" s="7"/>
      <c r="R40" s="7"/>
      <c r="S40"/>
      <c r="T40"/>
      <c r="U40"/>
      <c r="V40"/>
      <c r="W40"/>
      <c r="X40"/>
      <c r="Y40"/>
      <c r="Z40"/>
      <c r="AA40"/>
      <c r="AB40"/>
    </row>
    <row r="41" spans="1:28" s="8" customFormat="1" ht="24" customHeight="1">
      <c r="A41" s="1"/>
      <c r="B41" s="1"/>
      <c r="C41" s="45" t="s">
        <v>58</v>
      </c>
      <c r="D41" s="46" t="s">
        <v>59</v>
      </c>
      <c r="E41" s="47">
        <v>695652</v>
      </c>
      <c r="F41" s="47">
        <v>695652</v>
      </c>
      <c r="G41" s="47">
        <v>656996.80000000005</v>
      </c>
      <c r="H41" s="47">
        <f t="shared" si="0"/>
        <v>875995.7333333334</v>
      </c>
      <c r="I41" s="60">
        <f>I42+I43</f>
        <v>1465000</v>
      </c>
      <c r="J41" s="5"/>
      <c r="K41" s="6"/>
      <c r="L41" s="6"/>
      <c r="M41" s="6"/>
      <c r="N41" s="7"/>
      <c r="R41" s="7"/>
      <c r="S41"/>
      <c r="T41"/>
      <c r="U41"/>
      <c r="V41"/>
      <c r="W41"/>
      <c r="X41"/>
      <c r="Y41"/>
      <c r="Z41"/>
      <c r="AA41"/>
      <c r="AB41"/>
    </row>
    <row r="42" spans="1:28" s="8" customFormat="1" ht="12" customHeight="1">
      <c r="A42" s="1"/>
      <c r="B42" s="1"/>
      <c r="C42" s="49" t="s">
        <v>44</v>
      </c>
      <c r="D42" s="53" t="s">
        <v>60</v>
      </c>
      <c r="E42" s="51">
        <v>695652</v>
      </c>
      <c r="F42" s="51">
        <v>695652</v>
      </c>
      <c r="G42" s="51">
        <v>656996.80000000005</v>
      </c>
      <c r="H42" s="51">
        <f t="shared" si="0"/>
        <v>875995.7333333334</v>
      </c>
      <c r="I42" s="64">
        <v>1375000</v>
      </c>
      <c r="J42" s="5"/>
      <c r="K42" s="6"/>
      <c r="L42" s="6"/>
      <c r="M42" s="6"/>
      <c r="N42" s="7"/>
      <c r="R42" s="7"/>
      <c r="S42"/>
      <c r="T42"/>
      <c r="U42"/>
      <c r="V42"/>
      <c r="W42"/>
      <c r="X42"/>
      <c r="Y42"/>
      <c r="Z42"/>
      <c r="AA42"/>
      <c r="AB42"/>
    </row>
    <row r="43" spans="1:28" s="8" customFormat="1" ht="16.5" customHeight="1">
      <c r="A43" s="1"/>
      <c r="B43" s="1"/>
      <c r="C43" s="74">
        <v>3210</v>
      </c>
      <c r="D43" s="53" t="s">
        <v>61</v>
      </c>
      <c r="E43" s="75"/>
      <c r="F43" s="75"/>
      <c r="G43" s="75"/>
      <c r="H43" s="75"/>
      <c r="I43" s="64">
        <v>90000</v>
      </c>
      <c r="J43" s="5"/>
      <c r="K43" s="6"/>
      <c r="L43" s="6"/>
      <c r="M43" s="6"/>
      <c r="N43" s="7"/>
      <c r="R43" s="7"/>
      <c r="S43"/>
      <c r="T43"/>
      <c r="U43"/>
      <c r="V43"/>
      <c r="W43"/>
      <c r="X43"/>
      <c r="Y43"/>
      <c r="Z43"/>
      <c r="AA43"/>
      <c r="AB43"/>
    </row>
    <row r="44" spans="1:28" s="8" customFormat="1" ht="23.25" customHeight="1">
      <c r="A44" s="1"/>
      <c r="B44" s="1"/>
      <c r="C44" s="45" t="s">
        <v>62</v>
      </c>
      <c r="D44" s="46" t="s">
        <v>245</v>
      </c>
      <c r="E44" s="47">
        <v>4265760.9000000004</v>
      </c>
      <c r="F44" s="47">
        <v>4265760.9000000004</v>
      </c>
      <c r="G44" s="47">
        <v>1070912.45</v>
      </c>
      <c r="H44" s="47">
        <f t="shared" si="0"/>
        <v>1427883.2666666666</v>
      </c>
      <c r="I44" s="48">
        <f>I45</f>
        <v>4513940</v>
      </c>
      <c r="J44" s="5"/>
      <c r="K44" s="6"/>
      <c r="L44" s="6"/>
      <c r="M44" s="6"/>
      <c r="N44" s="7"/>
      <c r="R44" s="7"/>
      <c r="S44"/>
      <c r="T44"/>
      <c r="U44"/>
      <c r="V44"/>
      <c r="W44"/>
      <c r="X44"/>
      <c r="Y44"/>
      <c r="Z44"/>
      <c r="AA44"/>
      <c r="AB44"/>
    </row>
    <row r="45" spans="1:28" s="8" customFormat="1" ht="12.75" customHeight="1">
      <c r="A45" s="1"/>
      <c r="B45" s="1"/>
      <c r="C45" s="49" t="s">
        <v>44</v>
      </c>
      <c r="D45" s="53" t="s">
        <v>60</v>
      </c>
      <c r="E45" s="51">
        <v>4265760.9000000004</v>
      </c>
      <c r="F45" s="51">
        <v>4265760.9000000004</v>
      </c>
      <c r="G45" s="51">
        <v>1070912.45</v>
      </c>
      <c r="H45" s="51">
        <f t="shared" si="0"/>
        <v>1427883.2666666666</v>
      </c>
      <c r="I45" s="52">
        <v>4513940</v>
      </c>
      <c r="J45" s="13"/>
      <c r="K45" s="14"/>
      <c r="L45" s="14"/>
      <c r="M45" s="14"/>
      <c r="N45" s="15"/>
      <c r="R45" s="7"/>
      <c r="S45"/>
      <c r="T45"/>
      <c r="U45"/>
      <c r="V45"/>
      <c r="W45"/>
      <c r="X45"/>
      <c r="Y45"/>
      <c r="Z45"/>
      <c r="AA45"/>
      <c r="AB45"/>
    </row>
    <row r="46" spans="1:28" s="8" customFormat="1" ht="14.25" customHeight="1">
      <c r="A46" s="1"/>
      <c r="B46" s="1"/>
      <c r="C46" s="45" t="s">
        <v>63</v>
      </c>
      <c r="D46" s="46" t="s">
        <v>64</v>
      </c>
      <c r="E46" s="47">
        <v>47133047.32</v>
      </c>
      <c r="F46" s="47">
        <v>39887836.32</v>
      </c>
      <c r="G46" s="47">
        <v>26774008.809999999</v>
      </c>
      <c r="H46" s="47">
        <f t="shared" si="0"/>
        <v>35698678.413333334</v>
      </c>
      <c r="I46" s="48">
        <f>I48+I47+I49+I50</f>
        <v>48972085</v>
      </c>
      <c r="J46" s="5"/>
      <c r="K46" s="6"/>
      <c r="L46" s="6"/>
      <c r="M46" s="6"/>
      <c r="N46" s="7"/>
      <c r="R46" s="7"/>
      <c r="S46"/>
      <c r="T46"/>
      <c r="U46"/>
      <c r="V46"/>
      <c r="W46"/>
      <c r="X46"/>
      <c r="Y46"/>
      <c r="Z46"/>
      <c r="AA46"/>
      <c r="AB46"/>
    </row>
    <row r="47" spans="1:28" s="8" customFormat="1" ht="15.75" hidden="1" customHeight="1">
      <c r="A47" s="1"/>
      <c r="B47" s="1"/>
      <c r="C47" s="49" t="s">
        <v>28</v>
      </c>
      <c r="D47" s="50" t="s">
        <v>65</v>
      </c>
      <c r="E47" s="51">
        <v>8798211</v>
      </c>
      <c r="F47" s="51">
        <v>6420000</v>
      </c>
      <c r="G47" s="51">
        <v>2672129.31</v>
      </c>
      <c r="H47" s="51">
        <f t="shared" si="0"/>
        <v>3562839.08</v>
      </c>
      <c r="I47" s="52">
        <v>12187968</v>
      </c>
      <c r="J47" s="5"/>
      <c r="K47" s="6"/>
      <c r="L47" s="6"/>
      <c r="M47" s="6"/>
      <c r="N47" s="7"/>
      <c r="R47" s="7"/>
      <c r="S47"/>
      <c r="T47"/>
      <c r="U47"/>
      <c r="V47"/>
      <c r="W47"/>
      <c r="X47"/>
      <c r="Y47"/>
      <c r="Z47"/>
      <c r="AA47"/>
      <c r="AB47"/>
    </row>
    <row r="48" spans="1:28" s="8" customFormat="1" ht="22.5" hidden="1" customHeight="1">
      <c r="A48" s="1"/>
      <c r="B48" s="1"/>
      <c r="C48" s="49" t="s">
        <v>44</v>
      </c>
      <c r="D48" s="50" t="s">
        <v>246</v>
      </c>
      <c r="E48" s="51">
        <v>1298638</v>
      </c>
      <c r="F48" s="51"/>
      <c r="G48" s="51"/>
      <c r="H48" s="51">
        <f t="shared" si="0"/>
        <v>0</v>
      </c>
      <c r="I48" s="52">
        <v>2074117</v>
      </c>
      <c r="J48" s="5"/>
      <c r="K48" s="6"/>
      <c r="L48" s="6"/>
      <c r="M48" s="6"/>
      <c r="N48" s="7"/>
      <c r="R48" s="7"/>
      <c r="S48"/>
      <c r="T48"/>
      <c r="U48"/>
      <c r="V48"/>
      <c r="W48"/>
      <c r="X48"/>
      <c r="Y48"/>
      <c r="Z48"/>
      <c r="AA48"/>
      <c r="AB48"/>
    </row>
    <row r="49" spans="1:28" s="8" customFormat="1" ht="14.25" hidden="1" customHeight="1">
      <c r="A49" s="1"/>
      <c r="B49" s="1"/>
      <c r="C49" s="49" t="s">
        <v>44</v>
      </c>
      <c r="D49" s="50" t="s">
        <v>247</v>
      </c>
      <c r="E49" s="51">
        <v>5480000</v>
      </c>
      <c r="F49" s="51"/>
      <c r="G49" s="51"/>
      <c r="H49" s="51"/>
      <c r="I49" s="52">
        <v>8200000</v>
      </c>
      <c r="J49" s="5"/>
      <c r="K49" s="6"/>
      <c r="L49" s="6"/>
      <c r="M49" s="6"/>
      <c r="N49" s="7"/>
      <c r="R49" s="7"/>
      <c r="S49"/>
      <c r="T49"/>
      <c r="U49"/>
      <c r="V49"/>
      <c r="W49"/>
      <c r="X49"/>
      <c r="Y49"/>
      <c r="Z49"/>
      <c r="AA49"/>
      <c r="AB49"/>
    </row>
    <row r="50" spans="1:28" s="8" customFormat="1" ht="118.5" hidden="1" customHeight="1">
      <c r="A50" s="1"/>
      <c r="B50" s="1"/>
      <c r="C50" s="49" t="s">
        <v>44</v>
      </c>
      <c r="D50" s="56" t="s">
        <v>66</v>
      </c>
      <c r="E50" s="51">
        <v>31250001</v>
      </c>
      <c r="F50" s="51"/>
      <c r="G50" s="51"/>
      <c r="H50" s="51"/>
      <c r="I50" s="52">
        <v>26510000</v>
      </c>
      <c r="J50" s="5"/>
      <c r="K50" s="6"/>
      <c r="L50" s="6"/>
      <c r="M50" s="6"/>
      <c r="N50" s="7"/>
      <c r="R50" s="7"/>
      <c r="S50"/>
      <c r="T50"/>
      <c r="U50"/>
      <c r="V50"/>
      <c r="W50"/>
      <c r="X50"/>
      <c r="Y50"/>
      <c r="Z50"/>
      <c r="AA50"/>
      <c r="AB50"/>
    </row>
    <row r="51" spans="1:28" s="8" customFormat="1" ht="22.5" customHeight="1">
      <c r="A51" s="1"/>
      <c r="B51" s="1"/>
      <c r="C51" s="45" t="s">
        <v>67</v>
      </c>
      <c r="D51" s="46" t="s">
        <v>68</v>
      </c>
      <c r="E51" s="47">
        <v>17955850</v>
      </c>
      <c r="F51" s="47">
        <v>17955850</v>
      </c>
      <c r="G51" s="47">
        <v>12733031.529999999</v>
      </c>
      <c r="H51" s="47">
        <f t="shared" si="0"/>
        <v>16977375.373333331</v>
      </c>
      <c r="I51" s="48">
        <f>I52+I53</f>
        <v>13000000</v>
      </c>
      <c r="J51" s="5"/>
      <c r="K51" s="6"/>
      <c r="L51" s="6"/>
      <c r="M51" s="6"/>
      <c r="N51" s="7"/>
      <c r="R51" s="7"/>
      <c r="S51"/>
      <c r="T51"/>
      <c r="U51"/>
      <c r="V51"/>
      <c r="W51"/>
      <c r="X51"/>
      <c r="Y51"/>
      <c r="Z51"/>
      <c r="AA51"/>
      <c r="AB51"/>
    </row>
    <row r="52" spans="1:28" s="8" customFormat="1" ht="15.75" hidden="1" customHeight="1">
      <c r="A52" s="1"/>
      <c r="B52" s="1"/>
      <c r="C52" s="49" t="s">
        <v>44</v>
      </c>
      <c r="D52" s="56" t="s">
        <v>248</v>
      </c>
      <c r="E52" s="51">
        <v>17955850</v>
      </c>
      <c r="F52" s="51">
        <v>17955850</v>
      </c>
      <c r="G52" s="51">
        <v>12733031.529999999</v>
      </c>
      <c r="H52" s="51">
        <f t="shared" si="0"/>
        <v>16977375.373333331</v>
      </c>
      <c r="I52" s="52">
        <v>5000000</v>
      </c>
      <c r="J52" s="5"/>
      <c r="K52" s="6"/>
      <c r="L52" s="6"/>
      <c r="M52" s="6"/>
      <c r="N52" s="7"/>
      <c r="R52" s="7"/>
      <c r="S52"/>
      <c r="T52"/>
      <c r="U52"/>
      <c r="V52"/>
      <c r="W52"/>
      <c r="X52"/>
      <c r="Y52"/>
      <c r="Z52"/>
      <c r="AA52"/>
      <c r="AB52"/>
    </row>
    <row r="53" spans="1:28" s="8" customFormat="1" ht="17.25" hidden="1" customHeight="1">
      <c r="A53" s="1"/>
      <c r="B53" s="1"/>
      <c r="C53" s="49" t="s">
        <v>44</v>
      </c>
      <c r="D53" s="50" t="s">
        <v>249</v>
      </c>
      <c r="E53" s="51"/>
      <c r="F53" s="51"/>
      <c r="G53" s="51"/>
      <c r="H53" s="51"/>
      <c r="I53" s="52">
        <v>8000000</v>
      </c>
      <c r="J53" s="5"/>
      <c r="K53" s="6"/>
      <c r="L53" s="6"/>
      <c r="M53" s="6"/>
      <c r="N53" s="7"/>
      <c r="R53" s="7"/>
      <c r="S53"/>
      <c r="T53"/>
      <c r="U53"/>
      <c r="V53"/>
      <c r="W53"/>
      <c r="X53"/>
      <c r="Y53"/>
      <c r="Z53"/>
      <c r="AA53"/>
      <c r="AB53"/>
    </row>
    <row r="54" spans="1:28" s="8" customFormat="1" ht="12" customHeight="1">
      <c r="A54" s="1"/>
      <c r="B54" s="1"/>
      <c r="C54" s="45" t="s">
        <v>69</v>
      </c>
      <c r="D54" s="46" t="s">
        <v>70</v>
      </c>
      <c r="E54" s="47">
        <v>500000</v>
      </c>
      <c r="F54" s="47">
        <v>375000</v>
      </c>
      <c r="G54" s="47">
        <v>117000</v>
      </c>
      <c r="H54" s="47">
        <f t="shared" si="0"/>
        <v>156000</v>
      </c>
      <c r="I54" s="48">
        <f>I55+I56+I57</f>
        <v>1100000</v>
      </c>
      <c r="J54" s="5"/>
      <c r="K54" s="6"/>
      <c r="L54" s="6"/>
      <c r="M54" s="6"/>
      <c r="N54" s="7"/>
      <c r="R54" s="7"/>
      <c r="S54"/>
      <c r="T54"/>
      <c r="U54"/>
      <c r="V54"/>
      <c r="W54"/>
      <c r="X54"/>
      <c r="Y54"/>
      <c r="Z54"/>
      <c r="AA54"/>
      <c r="AB54"/>
    </row>
    <row r="55" spans="1:28" s="8" customFormat="1" ht="12" hidden="1" customHeight="1">
      <c r="A55" s="1"/>
      <c r="B55" s="1"/>
      <c r="C55" s="49" t="s">
        <v>20</v>
      </c>
      <c r="D55" s="56" t="s">
        <v>71</v>
      </c>
      <c r="E55" s="51">
        <v>500000</v>
      </c>
      <c r="F55" s="51">
        <v>375000</v>
      </c>
      <c r="G55" s="51">
        <v>117000</v>
      </c>
      <c r="H55" s="51">
        <f t="shared" si="0"/>
        <v>156000</v>
      </c>
      <c r="I55" s="52">
        <v>500000</v>
      </c>
      <c r="J55" s="5"/>
      <c r="K55" s="6"/>
      <c r="L55" s="6"/>
      <c r="M55" s="6"/>
      <c r="N55" s="7"/>
      <c r="R55" s="7"/>
      <c r="S55"/>
      <c r="T55"/>
      <c r="U55"/>
      <c r="V55"/>
      <c r="W55"/>
      <c r="X55"/>
      <c r="Y55"/>
      <c r="Z55"/>
      <c r="AA55"/>
      <c r="AB55"/>
    </row>
    <row r="56" spans="1:28" s="8" customFormat="1" ht="15" hidden="1" customHeight="1">
      <c r="A56" s="1"/>
      <c r="B56" s="1"/>
      <c r="C56" s="76">
        <v>2281</v>
      </c>
      <c r="D56" s="77" t="s">
        <v>71</v>
      </c>
      <c r="E56" s="75"/>
      <c r="F56" s="75"/>
      <c r="G56" s="75"/>
      <c r="H56" s="75"/>
      <c r="I56" s="78">
        <v>500000</v>
      </c>
      <c r="J56" s="5"/>
      <c r="K56" s="6"/>
      <c r="L56" s="6"/>
      <c r="M56" s="6"/>
      <c r="N56" s="7"/>
      <c r="R56" s="7"/>
      <c r="S56"/>
      <c r="T56"/>
      <c r="U56"/>
      <c r="V56"/>
      <c r="W56"/>
      <c r="X56"/>
      <c r="Y56"/>
      <c r="Z56"/>
      <c r="AA56"/>
      <c r="AB56"/>
    </row>
    <row r="57" spans="1:28" s="8" customFormat="1" ht="37.5" hidden="1" customHeight="1">
      <c r="A57" s="1"/>
      <c r="B57" s="1"/>
      <c r="C57" s="76">
        <v>2240</v>
      </c>
      <c r="D57" s="77" t="s">
        <v>72</v>
      </c>
      <c r="E57" s="75"/>
      <c r="F57" s="75"/>
      <c r="G57" s="75"/>
      <c r="H57" s="75"/>
      <c r="I57" s="78">
        <v>100000</v>
      </c>
      <c r="J57" s="5"/>
      <c r="K57" s="6"/>
      <c r="L57" s="6"/>
      <c r="M57" s="6"/>
      <c r="N57" s="7"/>
      <c r="R57" s="7"/>
      <c r="S57"/>
      <c r="T57"/>
      <c r="U57"/>
      <c r="V57"/>
      <c r="W57"/>
      <c r="X57"/>
      <c r="Y57"/>
      <c r="Z57"/>
      <c r="AA57"/>
      <c r="AB57"/>
    </row>
    <row r="58" spans="1:28" s="8" customFormat="1" ht="15" customHeight="1">
      <c r="A58" s="1"/>
      <c r="B58" s="1"/>
      <c r="C58" s="45" t="s">
        <v>73</v>
      </c>
      <c r="D58" s="46" t="s">
        <v>74</v>
      </c>
      <c r="E58" s="75"/>
      <c r="F58" s="75"/>
      <c r="G58" s="75"/>
      <c r="H58" s="75"/>
      <c r="I58" s="48">
        <f>I59</f>
        <v>5045000</v>
      </c>
      <c r="J58" s="5"/>
      <c r="K58" s="6"/>
      <c r="L58" s="6"/>
      <c r="M58" s="6"/>
      <c r="N58" s="7"/>
      <c r="R58" s="7"/>
      <c r="S58"/>
      <c r="T58"/>
      <c r="U58"/>
      <c r="V58"/>
      <c r="W58"/>
      <c r="X58"/>
      <c r="Y58"/>
      <c r="Z58"/>
      <c r="AA58"/>
      <c r="AB58"/>
    </row>
    <row r="59" spans="1:28" s="8" customFormat="1" ht="38.25" customHeight="1">
      <c r="A59" s="1"/>
      <c r="B59" s="1"/>
      <c r="C59" s="49" t="s">
        <v>75</v>
      </c>
      <c r="D59" s="50" t="s">
        <v>76</v>
      </c>
      <c r="E59" s="75"/>
      <c r="F59" s="75"/>
      <c r="G59" s="75"/>
      <c r="H59" s="75"/>
      <c r="I59" s="52">
        <f>5045000</f>
        <v>5045000</v>
      </c>
      <c r="J59" s="5"/>
      <c r="K59" s="6"/>
      <c r="L59" s="6"/>
      <c r="M59" s="6"/>
      <c r="N59" s="7"/>
      <c r="R59" s="7"/>
      <c r="S59"/>
      <c r="T59"/>
      <c r="U59"/>
      <c r="V59"/>
      <c r="W59"/>
      <c r="X59"/>
      <c r="Y59"/>
      <c r="Z59"/>
      <c r="AA59"/>
      <c r="AB59"/>
    </row>
    <row r="60" spans="1:28" s="8" customFormat="1" ht="12" customHeight="1">
      <c r="A60" s="1"/>
      <c r="B60" s="1"/>
      <c r="C60" s="45" t="s">
        <v>77</v>
      </c>
      <c r="D60" s="46" t="s">
        <v>78</v>
      </c>
      <c r="E60" s="47">
        <v>4290000</v>
      </c>
      <c r="F60" s="47">
        <v>3790000</v>
      </c>
      <c r="G60" s="47">
        <v>1344607.08</v>
      </c>
      <c r="H60" s="47">
        <f t="shared" si="0"/>
        <v>1792809.4400000002</v>
      </c>
      <c r="I60" s="48">
        <f>I61+I62</f>
        <v>6158383</v>
      </c>
      <c r="J60" s="5"/>
      <c r="K60" s="6"/>
      <c r="L60" s="6"/>
      <c r="M60" s="6"/>
      <c r="N60" s="7"/>
      <c r="R60" s="7"/>
      <c r="S60"/>
      <c r="T60"/>
      <c r="U60"/>
      <c r="V60"/>
      <c r="W60"/>
      <c r="X60"/>
      <c r="Y60"/>
      <c r="Z60"/>
      <c r="AA60"/>
      <c r="AB60"/>
    </row>
    <row r="61" spans="1:28" s="8" customFormat="1" ht="22.5" customHeight="1">
      <c r="A61" s="1"/>
      <c r="B61" s="1"/>
      <c r="C61" s="49" t="s">
        <v>44</v>
      </c>
      <c r="D61" s="50" t="s">
        <v>79</v>
      </c>
      <c r="E61" s="51">
        <v>4290000</v>
      </c>
      <c r="F61" s="51">
        <v>3790000</v>
      </c>
      <c r="G61" s="51">
        <v>1344607.08</v>
      </c>
      <c r="H61" s="51">
        <f t="shared" si="0"/>
        <v>1792809.4400000002</v>
      </c>
      <c r="I61" s="52">
        <v>3625063</v>
      </c>
      <c r="J61" s="13"/>
      <c r="K61" s="14"/>
      <c r="L61" s="14"/>
      <c r="M61" s="14"/>
      <c r="N61" s="15"/>
      <c r="R61" s="7"/>
      <c r="S61"/>
      <c r="T61"/>
      <c r="U61"/>
      <c r="V61"/>
      <c r="W61"/>
      <c r="X61"/>
      <c r="Y61"/>
      <c r="Z61"/>
      <c r="AA61"/>
      <c r="AB61"/>
    </row>
    <row r="62" spans="1:28" s="8" customFormat="1" ht="22.5" customHeight="1">
      <c r="A62" s="1"/>
      <c r="B62" s="1"/>
      <c r="C62" s="49">
        <v>3210</v>
      </c>
      <c r="D62" s="50" t="s">
        <v>250</v>
      </c>
      <c r="E62" s="51"/>
      <c r="F62" s="51"/>
      <c r="G62" s="51"/>
      <c r="H62" s="51"/>
      <c r="I62" s="52">
        <v>2533320</v>
      </c>
      <c r="J62" s="13"/>
      <c r="K62" s="14"/>
      <c r="L62" s="14"/>
      <c r="M62" s="14"/>
      <c r="N62" s="15"/>
      <c r="R62" s="7"/>
      <c r="S62"/>
      <c r="T62"/>
      <c r="U62"/>
      <c r="V62"/>
      <c r="W62"/>
      <c r="X62"/>
      <c r="Y62"/>
      <c r="Z62"/>
      <c r="AA62"/>
      <c r="AB62"/>
    </row>
    <row r="63" spans="1:28" s="8" customFormat="1" ht="23.25" customHeight="1">
      <c r="A63" s="1"/>
      <c r="B63" s="1"/>
      <c r="C63" s="45" t="s">
        <v>80</v>
      </c>
      <c r="D63" s="46" t="s">
        <v>81</v>
      </c>
      <c r="E63" s="51"/>
      <c r="F63" s="51"/>
      <c r="G63" s="51"/>
      <c r="H63" s="51"/>
      <c r="I63" s="48">
        <f>I64</f>
        <v>4000000</v>
      </c>
      <c r="J63" s="13"/>
      <c r="K63" s="14"/>
      <c r="L63" s="14"/>
      <c r="M63" s="14"/>
      <c r="N63" s="15"/>
      <c r="R63" s="7"/>
      <c r="S63"/>
      <c r="T63"/>
      <c r="U63"/>
      <c r="V63"/>
      <c r="W63"/>
      <c r="X63"/>
      <c r="Y63"/>
      <c r="Z63"/>
      <c r="AA63"/>
      <c r="AB63"/>
    </row>
    <row r="64" spans="1:28" s="8" customFormat="1" ht="12" customHeight="1">
      <c r="A64" s="1"/>
      <c r="B64" s="1"/>
      <c r="C64" s="49" t="s">
        <v>82</v>
      </c>
      <c r="D64" s="56" t="s">
        <v>251</v>
      </c>
      <c r="E64" s="51"/>
      <c r="F64" s="51"/>
      <c r="G64" s="51"/>
      <c r="H64" s="51"/>
      <c r="I64" s="52">
        <v>4000000</v>
      </c>
      <c r="J64" s="13"/>
      <c r="K64" s="14"/>
      <c r="L64" s="14"/>
      <c r="M64" s="14"/>
      <c r="N64" s="15"/>
      <c r="R64" s="7"/>
      <c r="S64"/>
      <c r="T64"/>
      <c r="U64"/>
      <c r="V64"/>
      <c r="W64"/>
      <c r="X64"/>
      <c r="Y64"/>
      <c r="Z64"/>
      <c r="AA64"/>
      <c r="AB64"/>
    </row>
    <row r="65" spans="1:28" s="8" customFormat="1" ht="13.5" hidden="1" customHeight="1">
      <c r="A65" s="1"/>
      <c r="B65" s="1"/>
      <c r="C65" s="45">
        <v>217610</v>
      </c>
      <c r="D65" s="46" t="s">
        <v>83</v>
      </c>
      <c r="E65" s="51"/>
      <c r="F65" s="51"/>
      <c r="G65" s="51"/>
      <c r="H65" s="51"/>
      <c r="I65" s="60">
        <f>I66</f>
        <v>0</v>
      </c>
      <c r="J65" s="13"/>
      <c r="K65" s="14"/>
      <c r="L65" s="14"/>
      <c r="M65" s="14"/>
      <c r="N65" s="15"/>
      <c r="R65" s="7"/>
      <c r="S65"/>
      <c r="T65"/>
      <c r="U65"/>
      <c r="V65"/>
      <c r="W65"/>
      <c r="X65"/>
      <c r="Y65"/>
      <c r="Z65"/>
      <c r="AA65"/>
      <c r="AB65"/>
    </row>
    <row r="66" spans="1:28" s="8" customFormat="1" ht="20.100000000000001" hidden="1" customHeight="1">
      <c r="A66" s="1"/>
      <c r="B66" s="1"/>
      <c r="C66" s="49">
        <v>2282</v>
      </c>
      <c r="D66" s="56" t="s">
        <v>84</v>
      </c>
      <c r="E66" s="51"/>
      <c r="F66" s="51"/>
      <c r="G66" s="51"/>
      <c r="H66" s="51"/>
      <c r="I66" s="64">
        <v>0</v>
      </c>
      <c r="J66" s="13"/>
      <c r="K66" s="14"/>
      <c r="L66" s="14"/>
      <c r="M66" s="14"/>
      <c r="N66" s="15"/>
      <c r="R66" s="7"/>
      <c r="S66"/>
      <c r="T66"/>
      <c r="U66"/>
      <c r="V66"/>
      <c r="W66"/>
      <c r="X66"/>
      <c r="Y66"/>
      <c r="Z66"/>
      <c r="AA66"/>
      <c r="AB66"/>
    </row>
    <row r="67" spans="1:28" s="8" customFormat="1" ht="17.25" customHeight="1">
      <c r="A67" s="1"/>
      <c r="B67" s="1"/>
      <c r="C67" s="45" t="s">
        <v>85</v>
      </c>
      <c r="D67" s="46" t="s">
        <v>86</v>
      </c>
      <c r="E67" s="51"/>
      <c r="F67" s="51"/>
      <c r="G67" s="51"/>
      <c r="H67" s="51"/>
      <c r="I67" s="48">
        <f>I68+I69</f>
        <v>5257410</v>
      </c>
      <c r="J67" s="13"/>
      <c r="K67" s="14"/>
      <c r="L67" s="14"/>
      <c r="M67" s="14"/>
      <c r="N67" s="15"/>
      <c r="R67" s="7"/>
      <c r="S67"/>
      <c r="T67"/>
      <c r="U67"/>
      <c r="V67"/>
      <c r="W67"/>
      <c r="X67"/>
      <c r="Y67"/>
      <c r="Z67"/>
      <c r="AA67"/>
      <c r="AB67"/>
    </row>
    <row r="68" spans="1:28" s="8" customFormat="1" ht="63.75" customHeight="1">
      <c r="A68" s="1"/>
      <c r="B68" s="1"/>
      <c r="C68" s="49" t="s">
        <v>75</v>
      </c>
      <c r="D68" s="50" t="s">
        <v>252</v>
      </c>
      <c r="E68" s="51"/>
      <c r="F68" s="51"/>
      <c r="G68" s="51"/>
      <c r="H68" s="51"/>
      <c r="I68" s="52">
        <v>1557410</v>
      </c>
      <c r="J68" s="13"/>
      <c r="K68" s="14"/>
      <c r="L68" s="14"/>
      <c r="M68" s="14"/>
      <c r="N68" s="15"/>
      <c r="R68" s="7"/>
      <c r="S68"/>
      <c r="T68"/>
      <c r="U68"/>
      <c r="V68"/>
      <c r="W68"/>
      <c r="X68"/>
      <c r="Y68"/>
      <c r="Z68"/>
      <c r="AA68"/>
      <c r="AB68"/>
    </row>
    <row r="69" spans="1:28" s="8" customFormat="1" ht="55.5" customHeight="1">
      <c r="A69" s="1"/>
      <c r="B69" s="1"/>
      <c r="C69" s="49">
        <v>3210</v>
      </c>
      <c r="D69" s="79" t="s">
        <v>253</v>
      </c>
      <c r="E69" s="51"/>
      <c r="F69" s="51"/>
      <c r="G69" s="51"/>
      <c r="H69" s="51"/>
      <c r="I69" s="52">
        <v>3700000</v>
      </c>
      <c r="J69" s="13"/>
      <c r="K69" s="14"/>
      <c r="L69" s="14"/>
      <c r="M69" s="14"/>
      <c r="N69" s="15"/>
      <c r="R69" s="7"/>
      <c r="S69"/>
      <c r="T69"/>
      <c r="U69"/>
      <c r="V69"/>
      <c r="W69"/>
      <c r="X69"/>
      <c r="Y69"/>
      <c r="Z69"/>
      <c r="AA69"/>
      <c r="AB69"/>
    </row>
    <row r="70" spans="1:28" s="8" customFormat="1" ht="15.75" customHeight="1">
      <c r="A70" s="1"/>
      <c r="B70" s="1"/>
      <c r="C70" s="45" t="s">
        <v>87</v>
      </c>
      <c r="D70" s="46" t="s">
        <v>88</v>
      </c>
      <c r="E70" s="47">
        <v>70877</v>
      </c>
      <c r="F70" s="47">
        <v>70877</v>
      </c>
      <c r="G70" s="47">
        <v>70877</v>
      </c>
      <c r="H70" s="47">
        <f t="shared" si="0"/>
        <v>94502.666666666672</v>
      </c>
      <c r="I70" s="48">
        <f>I71</f>
        <v>135320</v>
      </c>
      <c r="J70" s="5"/>
      <c r="K70" s="6"/>
      <c r="L70" s="6"/>
      <c r="M70" s="6"/>
      <c r="N70" s="7"/>
      <c r="R70" s="7"/>
      <c r="S70"/>
      <c r="T70"/>
      <c r="U70"/>
      <c r="V70"/>
      <c r="W70"/>
      <c r="X70"/>
      <c r="Y70"/>
      <c r="Z70"/>
      <c r="AA70"/>
      <c r="AB70"/>
    </row>
    <row r="71" spans="1:28" s="8" customFormat="1" ht="15.75" customHeight="1">
      <c r="A71" s="1"/>
      <c r="B71" s="1"/>
      <c r="C71" s="49" t="s">
        <v>36</v>
      </c>
      <c r="D71" s="56" t="s">
        <v>89</v>
      </c>
      <c r="E71" s="51">
        <v>70877</v>
      </c>
      <c r="F71" s="51">
        <v>70877</v>
      </c>
      <c r="G71" s="51">
        <v>70877</v>
      </c>
      <c r="H71" s="51">
        <f t="shared" si="0"/>
        <v>94502.666666666672</v>
      </c>
      <c r="I71" s="52">
        <v>135320</v>
      </c>
      <c r="J71" s="5"/>
      <c r="K71" s="6"/>
      <c r="L71" s="6"/>
      <c r="M71" s="6"/>
      <c r="N71" s="7"/>
      <c r="R71" s="7"/>
      <c r="S71"/>
      <c r="T71"/>
      <c r="U71"/>
      <c r="V71"/>
      <c r="W71"/>
      <c r="X71"/>
      <c r="Y71"/>
      <c r="Z71"/>
      <c r="AA71"/>
      <c r="AB71"/>
    </row>
    <row r="72" spans="1:28" s="6" customFormat="1" ht="16.5" customHeight="1">
      <c r="A72" s="1"/>
      <c r="B72" s="1"/>
      <c r="C72" s="45" t="s">
        <v>90</v>
      </c>
      <c r="D72" s="46" t="s">
        <v>91</v>
      </c>
      <c r="E72" s="47">
        <v>80000</v>
      </c>
      <c r="F72" s="47">
        <v>80000</v>
      </c>
      <c r="G72" s="47">
        <v>36000</v>
      </c>
      <c r="H72" s="47">
        <f t="shared" si="0"/>
        <v>48000</v>
      </c>
      <c r="I72" s="48">
        <f>I73</f>
        <v>90000</v>
      </c>
      <c r="J72" s="5"/>
      <c r="N72" s="7"/>
      <c r="O72" s="8"/>
      <c r="P72" s="8"/>
      <c r="Q72" s="8"/>
      <c r="R72" s="7"/>
      <c r="S72"/>
      <c r="T72"/>
      <c r="U72"/>
      <c r="V72"/>
      <c r="W72"/>
      <c r="X72"/>
      <c r="Y72"/>
      <c r="Z72"/>
      <c r="AA72"/>
      <c r="AB72"/>
    </row>
    <row r="73" spans="1:28" s="6" customFormat="1" ht="25.5" customHeight="1">
      <c r="A73" s="1"/>
      <c r="B73" s="1"/>
      <c r="C73" s="49" t="s">
        <v>20</v>
      </c>
      <c r="D73" s="56" t="s">
        <v>92</v>
      </c>
      <c r="E73" s="51">
        <v>80000</v>
      </c>
      <c r="F73" s="51">
        <v>80000</v>
      </c>
      <c r="G73" s="51">
        <v>36000</v>
      </c>
      <c r="H73" s="51">
        <f t="shared" si="0"/>
        <v>48000</v>
      </c>
      <c r="I73" s="52">
        <v>90000</v>
      </c>
      <c r="J73" s="5"/>
      <c r="N73" s="7"/>
      <c r="O73" s="8"/>
      <c r="P73" s="8"/>
      <c r="Q73" s="8"/>
      <c r="R73" s="7"/>
      <c r="S73"/>
      <c r="T73"/>
      <c r="U73"/>
      <c r="V73"/>
      <c r="W73"/>
      <c r="X73"/>
      <c r="Y73"/>
      <c r="Z73"/>
      <c r="AA73"/>
      <c r="AB73"/>
    </row>
    <row r="74" spans="1:28" s="6" customFormat="1" ht="14.25" customHeight="1">
      <c r="A74" s="1"/>
      <c r="B74" s="16"/>
      <c r="C74" s="45" t="s">
        <v>93</v>
      </c>
      <c r="D74" s="46" t="s">
        <v>94</v>
      </c>
      <c r="E74" s="47">
        <v>1602100</v>
      </c>
      <c r="F74" s="47">
        <v>1602100</v>
      </c>
      <c r="G74" s="47">
        <v>366000</v>
      </c>
      <c r="H74" s="47">
        <f t="shared" si="0"/>
        <v>488000</v>
      </c>
      <c r="I74" s="48">
        <f>I75</f>
        <v>4000000</v>
      </c>
      <c r="J74" s="5"/>
      <c r="N74" s="7"/>
      <c r="O74" s="8"/>
      <c r="P74" s="8"/>
      <c r="Q74" s="8"/>
      <c r="R74" s="7"/>
      <c r="S74"/>
      <c r="T74"/>
      <c r="U74"/>
      <c r="V74"/>
      <c r="W74"/>
      <c r="X74"/>
      <c r="Y74"/>
      <c r="Z74"/>
      <c r="AA74"/>
      <c r="AB74"/>
    </row>
    <row r="75" spans="1:28" s="6" customFormat="1" ht="26.25" customHeight="1">
      <c r="A75" s="1"/>
      <c r="B75" s="1"/>
      <c r="C75" s="49" t="s">
        <v>44</v>
      </c>
      <c r="D75" s="56" t="s">
        <v>95</v>
      </c>
      <c r="E75" s="51">
        <v>366000</v>
      </c>
      <c r="F75" s="51">
        <v>366000</v>
      </c>
      <c r="G75" s="51">
        <v>366000</v>
      </c>
      <c r="H75" s="51">
        <f t="shared" si="0"/>
        <v>488000</v>
      </c>
      <c r="I75" s="64">
        <v>4000000</v>
      </c>
      <c r="J75" s="5"/>
      <c r="N75" s="7"/>
      <c r="O75" s="8"/>
      <c r="P75" s="8"/>
      <c r="Q75" s="8"/>
      <c r="R75" s="7"/>
      <c r="S75"/>
      <c r="T75"/>
      <c r="U75"/>
      <c r="V75"/>
      <c r="W75"/>
      <c r="X75"/>
      <c r="Y75"/>
      <c r="Z75"/>
      <c r="AA75"/>
      <c r="AB75"/>
    </row>
    <row r="76" spans="1:28" s="6" customFormat="1" ht="41.25" customHeight="1">
      <c r="A76" s="1"/>
      <c r="B76" s="1"/>
      <c r="C76" s="45" t="s">
        <v>96</v>
      </c>
      <c r="D76" s="46" t="s">
        <v>254</v>
      </c>
      <c r="E76" s="47">
        <v>2000000</v>
      </c>
      <c r="F76" s="47">
        <v>1500000</v>
      </c>
      <c r="G76" s="47">
        <v>1168344</v>
      </c>
      <c r="H76" s="47">
        <f t="shared" si="0"/>
        <v>1557792</v>
      </c>
      <c r="I76" s="48">
        <f>I77+I78</f>
        <v>2708000</v>
      </c>
      <c r="J76" s="5"/>
      <c r="N76" s="7"/>
      <c r="O76" s="8"/>
      <c r="P76" s="8"/>
      <c r="Q76" s="8"/>
      <c r="R76" s="7"/>
      <c r="S76"/>
      <c r="T76"/>
      <c r="U76"/>
      <c r="V76"/>
      <c r="W76"/>
      <c r="X76"/>
      <c r="Y76"/>
      <c r="Z76"/>
      <c r="AA76"/>
      <c r="AB76"/>
    </row>
    <row r="77" spans="1:28" s="6" customFormat="1" ht="44.25" customHeight="1">
      <c r="A77" s="1"/>
      <c r="B77" s="1"/>
      <c r="C77" s="49" t="s">
        <v>20</v>
      </c>
      <c r="D77" s="56" t="s">
        <v>97</v>
      </c>
      <c r="E77" s="51">
        <v>2000000</v>
      </c>
      <c r="F77" s="51">
        <v>1500000</v>
      </c>
      <c r="G77" s="51">
        <v>1168344</v>
      </c>
      <c r="H77" s="51">
        <f t="shared" si="0"/>
        <v>1557792</v>
      </c>
      <c r="I77" s="52">
        <v>2580000</v>
      </c>
      <c r="J77" s="5"/>
      <c r="N77" s="7"/>
      <c r="O77" s="8"/>
      <c r="P77" s="8"/>
      <c r="Q77" s="8"/>
      <c r="R77" s="7"/>
      <c r="S77"/>
      <c r="T77"/>
      <c r="U77"/>
      <c r="V77"/>
      <c r="W77"/>
      <c r="X77"/>
      <c r="Y77"/>
      <c r="Z77"/>
      <c r="AA77"/>
      <c r="AB77"/>
    </row>
    <row r="78" spans="1:28" s="6" customFormat="1" ht="16.5" customHeight="1">
      <c r="A78" s="1"/>
      <c r="B78" s="1"/>
      <c r="C78" s="49">
        <v>2240</v>
      </c>
      <c r="D78" s="56" t="s">
        <v>98</v>
      </c>
      <c r="E78" s="51"/>
      <c r="F78" s="51"/>
      <c r="G78" s="51"/>
      <c r="H78" s="51"/>
      <c r="I78" s="52">
        <v>128000</v>
      </c>
      <c r="J78" s="5"/>
      <c r="N78" s="7"/>
      <c r="O78" s="8"/>
      <c r="P78" s="8"/>
      <c r="Q78" s="8"/>
      <c r="R78" s="7"/>
      <c r="S78"/>
      <c r="T78"/>
      <c r="U78"/>
      <c r="V78"/>
      <c r="W78"/>
      <c r="X78"/>
      <c r="Y78"/>
      <c r="Z78"/>
      <c r="AA78"/>
      <c r="AB78"/>
    </row>
    <row r="79" spans="1:28" s="6" customFormat="1" ht="14.25" customHeight="1">
      <c r="A79" s="1"/>
      <c r="B79" s="16"/>
      <c r="C79" s="65" t="s">
        <v>99</v>
      </c>
      <c r="D79" s="66" t="s">
        <v>100</v>
      </c>
      <c r="E79" s="67">
        <v>382364217.99000001</v>
      </c>
      <c r="F79" s="67">
        <v>294386593.99000001</v>
      </c>
      <c r="G79" s="67">
        <v>225341454.20000002</v>
      </c>
      <c r="H79" s="67">
        <f t="shared" si="0"/>
        <v>300455272.26666665</v>
      </c>
      <c r="I79" s="68">
        <f>I80+I85+I258+I477+I518+I440</f>
        <v>396790730.79270494</v>
      </c>
      <c r="J79" s="5"/>
      <c r="N79" s="7"/>
      <c r="O79" s="8"/>
      <c r="P79" s="8"/>
      <c r="Q79" s="8"/>
      <c r="R79" s="7"/>
      <c r="S79"/>
      <c r="T79" s="17"/>
      <c r="U79" s="18"/>
      <c r="V79"/>
      <c r="W79"/>
      <c r="X79"/>
      <c r="Y79"/>
      <c r="Z79"/>
      <c r="AA79"/>
      <c r="AB79"/>
    </row>
    <row r="80" spans="1:28" s="6" customFormat="1" ht="27.75" customHeight="1">
      <c r="A80" s="1"/>
      <c r="B80" s="16"/>
      <c r="C80" s="65" t="s">
        <v>101</v>
      </c>
      <c r="D80" s="66" t="s">
        <v>13</v>
      </c>
      <c r="E80" s="67">
        <v>2213500</v>
      </c>
      <c r="F80" s="67">
        <v>1745143</v>
      </c>
      <c r="G80" s="67">
        <v>1192704.1499999999</v>
      </c>
      <c r="H80" s="67">
        <f>(G80/9)*12</f>
        <v>1590272.1999999997</v>
      </c>
      <c r="I80" s="68">
        <f>I81+I82+I83+I84</f>
        <v>1220000</v>
      </c>
      <c r="J80" s="5"/>
      <c r="N80" s="7"/>
      <c r="O80" s="8"/>
      <c r="P80" s="8"/>
      <c r="Q80" s="8"/>
      <c r="R80" s="7"/>
      <c r="S80"/>
      <c r="T80"/>
      <c r="U80"/>
      <c r="V80"/>
      <c r="W80"/>
      <c r="X80"/>
      <c r="Y80"/>
      <c r="Z80"/>
      <c r="AA80"/>
      <c r="AB80"/>
    </row>
    <row r="81" spans="1:28" s="6" customFormat="1" ht="12" customHeight="1">
      <c r="A81" s="1"/>
      <c r="B81" s="16"/>
      <c r="C81" s="69" t="s">
        <v>14</v>
      </c>
      <c r="D81" s="53" t="s">
        <v>15</v>
      </c>
      <c r="E81" s="71">
        <v>1650400</v>
      </c>
      <c r="F81" s="71">
        <v>1266490</v>
      </c>
      <c r="G81" s="71">
        <v>882011.51</v>
      </c>
      <c r="H81" s="71">
        <f t="shared" si="0"/>
        <v>1176015.3466666667</v>
      </c>
      <c r="I81" s="55">
        <v>1000000</v>
      </c>
      <c r="J81" s="5"/>
      <c r="N81" s="7"/>
      <c r="O81" s="8"/>
      <c r="P81" s="8"/>
      <c r="Q81" s="8"/>
      <c r="R81" s="7"/>
      <c r="S81"/>
      <c r="T81"/>
      <c r="U81"/>
      <c r="V81"/>
      <c r="W81"/>
      <c r="X81"/>
      <c r="Y81"/>
      <c r="Z81"/>
      <c r="AA81"/>
      <c r="AB81"/>
    </row>
    <row r="82" spans="1:28" s="6" customFormat="1" ht="12" customHeight="1">
      <c r="A82" s="1"/>
      <c r="B82" s="16"/>
      <c r="C82" s="69" t="s">
        <v>16</v>
      </c>
      <c r="D82" s="53" t="s">
        <v>17</v>
      </c>
      <c r="E82" s="71">
        <v>363100</v>
      </c>
      <c r="F82" s="71">
        <v>278653</v>
      </c>
      <c r="G82" s="71">
        <v>191655.97</v>
      </c>
      <c r="H82" s="71">
        <f t="shared" si="0"/>
        <v>255541.29333333333</v>
      </c>
      <c r="I82" s="55">
        <v>220000</v>
      </c>
      <c r="J82" s="5"/>
      <c r="N82" s="7"/>
      <c r="O82" s="8"/>
      <c r="P82" s="8"/>
      <c r="Q82" s="8"/>
      <c r="R82" s="7"/>
      <c r="S82"/>
      <c r="T82"/>
      <c r="U82"/>
      <c r="V82"/>
      <c r="W82"/>
      <c r="X82"/>
      <c r="Y82"/>
      <c r="Z82"/>
      <c r="AA82"/>
      <c r="AB82"/>
    </row>
    <row r="83" spans="1:28" s="6" customFormat="1" ht="15.75" hidden="1" customHeight="1">
      <c r="A83" s="1"/>
      <c r="B83" s="16"/>
      <c r="C83" s="69" t="s">
        <v>18</v>
      </c>
      <c r="D83" s="53" t="s">
        <v>19</v>
      </c>
      <c r="E83" s="71">
        <v>90000</v>
      </c>
      <c r="F83" s="71">
        <v>90000</v>
      </c>
      <c r="G83" s="71">
        <v>36606.67</v>
      </c>
      <c r="H83" s="71">
        <f t="shared" ref="H83:H99" si="2">(G83/9)*12</f>
        <v>48808.893333333326</v>
      </c>
      <c r="I83" s="55">
        <v>0</v>
      </c>
      <c r="J83" s="5"/>
      <c r="N83" s="7"/>
      <c r="O83" s="8"/>
      <c r="P83" s="8"/>
      <c r="Q83" s="8"/>
      <c r="R83" s="7"/>
      <c r="S83"/>
      <c r="T83"/>
      <c r="U83"/>
      <c r="V83"/>
      <c r="W83"/>
      <c r="X83"/>
      <c r="Y83"/>
      <c r="Z83"/>
      <c r="AA83"/>
      <c r="AB83"/>
    </row>
    <row r="84" spans="1:28" s="6" customFormat="1" ht="12" hidden="1" customHeight="1">
      <c r="A84" s="1"/>
      <c r="B84" s="16"/>
      <c r="C84" s="69" t="s">
        <v>20</v>
      </c>
      <c r="D84" s="53" t="s">
        <v>21</v>
      </c>
      <c r="E84" s="71">
        <v>110000</v>
      </c>
      <c r="F84" s="71">
        <v>110000</v>
      </c>
      <c r="G84" s="71">
        <v>82430</v>
      </c>
      <c r="H84" s="71">
        <f t="shared" si="2"/>
        <v>109906.66666666666</v>
      </c>
      <c r="I84" s="55">
        <v>0</v>
      </c>
      <c r="J84" s="5"/>
      <c r="N84" s="7"/>
      <c r="O84" s="8"/>
      <c r="P84" s="8"/>
      <c r="Q84" s="8"/>
      <c r="R84" s="7"/>
      <c r="S84"/>
      <c r="T84"/>
      <c r="U84"/>
      <c r="V84"/>
      <c r="W84"/>
      <c r="X84"/>
      <c r="Y84"/>
      <c r="Z84"/>
      <c r="AA84"/>
      <c r="AB84"/>
    </row>
    <row r="85" spans="1:28" s="6" customFormat="1" ht="12" customHeight="1">
      <c r="A85" s="1"/>
      <c r="B85" s="16"/>
      <c r="C85" s="65" t="s">
        <v>102</v>
      </c>
      <c r="D85" s="66" t="s">
        <v>103</v>
      </c>
      <c r="E85" s="67">
        <v>92691759</v>
      </c>
      <c r="F85" s="67">
        <v>73665787</v>
      </c>
      <c r="G85" s="67">
        <v>63929527.789999999</v>
      </c>
      <c r="H85" s="67">
        <f>(G85/9)*12</f>
        <v>85239370.38666667</v>
      </c>
      <c r="I85" s="68">
        <f>I86+I87+I88+I89+I90+I91+I92+I93+I94+I95+I96+I97+I98+I99+I100</f>
        <v>97048068.340397209</v>
      </c>
      <c r="J85" s="5"/>
      <c r="N85" s="7"/>
      <c r="O85" s="8"/>
      <c r="P85" s="8"/>
      <c r="Q85" s="8"/>
      <c r="R85" s="7"/>
      <c r="S85"/>
      <c r="T85"/>
      <c r="U85"/>
      <c r="V85"/>
      <c r="W85"/>
      <c r="X85"/>
      <c r="Y85"/>
      <c r="Z85"/>
      <c r="AA85"/>
      <c r="AB85"/>
    </row>
    <row r="86" spans="1:28" s="6" customFormat="1" ht="12" customHeight="1">
      <c r="A86" s="1"/>
      <c r="B86" s="16"/>
      <c r="C86" s="69" t="s">
        <v>14</v>
      </c>
      <c r="D86" s="53" t="s">
        <v>15</v>
      </c>
      <c r="E86" s="71">
        <v>59876644</v>
      </c>
      <c r="F86" s="71">
        <v>47743116</v>
      </c>
      <c r="G86" s="71">
        <v>45067657.07</v>
      </c>
      <c r="H86" s="71">
        <f>(G86/9)*12</f>
        <v>60090209.42666667</v>
      </c>
      <c r="I86" s="55">
        <f t="shared" ref="I86:I91" si="3">I102+I116+I131+I145+I159+I173+I187+I201+I215+I229+I245</f>
        <v>56585062.416616939</v>
      </c>
      <c r="J86" s="5"/>
      <c r="N86" s="7"/>
      <c r="O86" s="8"/>
      <c r="P86" s="8"/>
      <c r="Q86" s="8"/>
      <c r="R86" s="7"/>
      <c r="S86"/>
      <c r="T86"/>
      <c r="U86"/>
      <c r="V86"/>
      <c r="W86"/>
      <c r="X86"/>
      <c r="Y86"/>
      <c r="Z86"/>
      <c r="AA86"/>
      <c r="AB86"/>
    </row>
    <row r="87" spans="1:28" s="6" customFormat="1" ht="12" customHeight="1">
      <c r="A87" s="1"/>
      <c r="B87" s="16"/>
      <c r="C87" s="69" t="s">
        <v>16</v>
      </c>
      <c r="D87" s="53" t="s">
        <v>17</v>
      </c>
      <c r="E87" s="71">
        <v>13134518</v>
      </c>
      <c r="F87" s="71">
        <v>10792950</v>
      </c>
      <c r="G87" s="71">
        <v>9872060.0399999991</v>
      </c>
      <c r="H87" s="71">
        <f t="shared" si="2"/>
        <v>13162746.719999999</v>
      </c>
      <c r="I87" s="55">
        <f t="shared" si="3"/>
        <v>12502181.92378027</v>
      </c>
      <c r="J87" s="5"/>
      <c r="N87" s="7"/>
      <c r="O87" s="8"/>
      <c r="P87" s="8"/>
      <c r="Q87" s="8"/>
      <c r="R87" s="7"/>
      <c r="S87"/>
      <c r="T87"/>
      <c r="U87"/>
      <c r="V87"/>
      <c r="W87"/>
      <c r="X87"/>
      <c r="Y87"/>
      <c r="Z87"/>
      <c r="AA87"/>
      <c r="AB87"/>
    </row>
    <row r="88" spans="1:28" s="6" customFormat="1" ht="20.100000000000001" customHeight="1">
      <c r="A88" s="1"/>
      <c r="B88" s="16"/>
      <c r="C88" s="69" t="s">
        <v>18</v>
      </c>
      <c r="D88" s="53" t="s">
        <v>19</v>
      </c>
      <c r="E88" s="71">
        <v>1098560</v>
      </c>
      <c r="F88" s="71">
        <v>1014460</v>
      </c>
      <c r="G88" s="71">
        <v>675134.99</v>
      </c>
      <c r="H88" s="71">
        <f>(G88/9)*12</f>
        <v>900179.98666666669</v>
      </c>
      <c r="I88" s="55">
        <f t="shared" si="3"/>
        <v>1180000</v>
      </c>
      <c r="J88" s="5"/>
      <c r="N88" s="7"/>
      <c r="O88" s="8"/>
      <c r="P88" s="8"/>
      <c r="Q88" s="8"/>
      <c r="R88" s="7"/>
      <c r="S88"/>
      <c r="T88"/>
      <c r="U88"/>
      <c r="V88"/>
      <c r="W88"/>
      <c r="X88"/>
      <c r="Y88"/>
      <c r="Z88"/>
      <c r="AA88"/>
      <c r="AB88"/>
    </row>
    <row r="89" spans="1:28" ht="15.75" customHeight="1">
      <c r="A89" s="1"/>
      <c r="B89" s="16"/>
      <c r="C89" s="69" t="s">
        <v>104</v>
      </c>
      <c r="D89" s="53" t="s">
        <v>105</v>
      </c>
      <c r="E89" s="71">
        <v>131500</v>
      </c>
      <c r="F89" s="71">
        <v>113500</v>
      </c>
      <c r="G89" s="71">
        <v>35569.06</v>
      </c>
      <c r="H89" s="71">
        <f t="shared" si="2"/>
        <v>47425.41333333333</v>
      </c>
      <c r="I89" s="55">
        <f t="shared" si="3"/>
        <v>151920</v>
      </c>
      <c r="J89" s="5"/>
    </row>
    <row r="90" spans="1:28" ht="12" customHeight="1">
      <c r="A90" s="1"/>
      <c r="B90" s="16"/>
      <c r="C90" s="69" t="s">
        <v>106</v>
      </c>
      <c r="D90" s="53" t="s">
        <v>107</v>
      </c>
      <c r="E90" s="71">
        <v>7708830</v>
      </c>
      <c r="F90" s="71">
        <v>6019400</v>
      </c>
      <c r="G90" s="71">
        <v>3284439.87</v>
      </c>
      <c r="H90" s="71">
        <f t="shared" si="2"/>
        <v>4379253.16</v>
      </c>
      <c r="I90" s="55">
        <f t="shared" si="3"/>
        <v>11531200</v>
      </c>
      <c r="J90" s="5"/>
    </row>
    <row r="91" spans="1:28" ht="12" customHeight="1">
      <c r="A91" s="1"/>
      <c r="B91" s="16"/>
      <c r="C91" s="69" t="s">
        <v>20</v>
      </c>
      <c r="D91" s="53" t="s">
        <v>21</v>
      </c>
      <c r="E91" s="71">
        <v>2931927</v>
      </c>
      <c r="F91" s="71">
        <v>2593502</v>
      </c>
      <c r="G91" s="71">
        <v>1777107.06</v>
      </c>
      <c r="H91" s="71">
        <f t="shared" si="2"/>
        <v>2369476.08</v>
      </c>
      <c r="I91" s="55">
        <f t="shared" si="3"/>
        <v>2420000</v>
      </c>
      <c r="J91" s="5"/>
    </row>
    <row r="92" spans="1:28" ht="12" customHeight="1">
      <c r="A92" s="1"/>
      <c r="B92" s="16"/>
      <c r="C92" s="69" t="s">
        <v>22</v>
      </c>
      <c r="D92" s="53" t="s">
        <v>108</v>
      </c>
      <c r="E92" s="71">
        <v>36660</v>
      </c>
      <c r="F92" s="71">
        <v>35160</v>
      </c>
      <c r="G92" s="71">
        <v>1290.96</v>
      </c>
      <c r="H92" s="71">
        <f t="shared" si="2"/>
        <v>1721.28</v>
      </c>
      <c r="I92" s="55">
        <f>I108+I122+I151+I137+I165+I179+I193+I207+I221+I235+I251</f>
        <v>52600</v>
      </c>
      <c r="J92" s="5"/>
    </row>
    <row r="93" spans="1:28" ht="12" customHeight="1">
      <c r="A93" s="1"/>
      <c r="B93" s="16"/>
      <c r="C93" s="69" t="s">
        <v>24</v>
      </c>
      <c r="D93" s="53" t="s">
        <v>109</v>
      </c>
      <c r="E93" s="71">
        <v>1300000</v>
      </c>
      <c r="F93" s="71">
        <v>734354</v>
      </c>
      <c r="G93" s="71">
        <v>500203.99</v>
      </c>
      <c r="H93" s="71">
        <f t="shared" si="2"/>
        <v>666938.65333333332</v>
      </c>
      <c r="I93" s="55">
        <f>I109+I123+I138+I152+I166+I180+I194+I208+I222+I236+I252</f>
        <v>2000000</v>
      </c>
      <c r="J93" s="5"/>
    </row>
    <row r="94" spans="1:28" ht="20.100000000000001" customHeight="1">
      <c r="A94" s="1"/>
      <c r="B94" s="16"/>
      <c r="C94" s="69" t="s">
        <v>26</v>
      </c>
      <c r="D94" s="53" t="s">
        <v>110</v>
      </c>
      <c r="E94" s="71">
        <v>574850</v>
      </c>
      <c r="F94" s="71">
        <v>466100</v>
      </c>
      <c r="G94" s="71">
        <v>344951.16</v>
      </c>
      <c r="H94" s="71">
        <f t="shared" si="2"/>
        <v>459934.87999999995</v>
      </c>
      <c r="I94" s="55">
        <f>I110+I124+I139+I153+I167+I181+I195+I209+I223+I237+I253</f>
        <v>834344</v>
      </c>
      <c r="J94" s="5"/>
    </row>
    <row r="95" spans="1:28" ht="12" customHeight="1">
      <c r="A95" s="1"/>
      <c r="B95" s="16"/>
      <c r="C95" s="69" t="s">
        <v>28</v>
      </c>
      <c r="D95" s="53" t="s">
        <v>29</v>
      </c>
      <c r="E95" s="71">
        <v>1668800</v>
      </c>
      <c r="F95" s="71">
        <v>1279825</v>
      </c>
      <c r="G95" s="71">
        <v>712122.12</v>
      </c>
      <c r="H95" s="71">
        <f t="shared" si="2"/>
        <v>949496.15999999992</v>
      </c>
      <c r="I95" s="55">
        <f>I111+I125+I140+I154+I168+I182+I196+I210+I224+I238+I254</f>
        <v>2212890</v>
      </c>
      <c r="J95" s="5"/>
    </row>
    <row r="96" spans="1:28" ht="12" customHeight="1">
      <c r="A96" s="1"/>
      <c r="B96" s="16"/>
      <c r="C96" s="69" t="s">
        <v>30</v>
      </c>
      <c r="D96" s="53" t="s">
        <v>31</v>
      </c>
      <c r="E96" s="71">
        <v>3948000</v>
      </c>
      <c r="F96" s="71">
        <v>2634800</v>
      </c>
      <c r="G96" s="71">
        <v>1580662.21</v>
      </c>
      <c r="H96" s="71">
        <f t="shared" si="2"/>
        <v>2107549.6133333333</v>
      </c>
      <c r="I96" s="55">
        <f>I112+I126+I141+I155+I169+I183+I197+I211+I225+I239+I255</f>
        <v>7175020</v>
      </c>
      <c r="J96" s="5"/>
    </row>
    <row r="97" spans="1:28" ht="14.25" customHeight="1">
      <c r="A97" s="1"/>
      <c r="B97" s="16"/>
      <c r="C97" s="69" t="s">
        <v>32</v>
      </c>
      <c r="D97" s="53" t="s">
        <v>111</v>
      </c>
      <c r="E97" s="71">
        <v>213870</v>
      </c>
      <c r="F97" s="71">
        <v>171020</v>
      </c>
      <c r="G97" s="71">
        <v>62893.26</v>
      </c>
      <c r="H97" s="71">
        <f t="shared" si="2"/>
        <v>83857.680000000008</v>
      </c>
      <c r="I97" s="55">
        <f>I113+I142+I156+I170+I198+I184+I212+I226+I240+I256+I127</f>
        <v>264730</v>
      </c>
      <c r="J97" s="5"/>
    </row>
    <row r="98" spans="1:28" ht="21.75" customHeight="1">
      <c r="A98" s="1"/>
      <c r="B98" s="16"/>
      <c r="C98" s="69" t="s">
        <v>34</v>
      </c>
      <c r="D98" s="53" t="s">
        <v>35</v>
      </c>
      <c r="E98" s="71">
        <v>56835</v>
      </c>
      <c r="F98" s="71">
        <v>56835</v>
      </c>
      <c r="G98" s="71">
        <v>15436</v>
      </c>
      <c r="H98" s="71">
        <f t="shared" si="2"/>
        <v>20581.333333333332</v>
      </c>
      <c r="I98" s="55">
        <f>I114+I128+I143+I157+I171+I185+I199+I213+I227+I241+I257</f>
        <v>110600</v>
      </c>
      <c r="J98" s="5"/>
    </row>
    <row r="99" spans="1:28" ht="12" customHeight="1">
      <c r="A99" s="1"/>
      <c r="B99" s="16"/>
      <c r="C99" s="69" t="s">
        <v>36</v>
      </c>
      <c r="D99" s="53" t="s">
        <v>37</v>
      </c>
      <c r="E99" s="71">
        <v>10765</v>
      </c>
      <c r="F99" s="71">
        <v>10765</v>
      </c>
      <c r="G99" s="71">
        <v>0</v>
      </c>
      <c r="H99" s="71">
        <f t="shared" si="2"/>
        <v>0</v>
      </c>
      <c r="I99" s="55">
        <f>I129+I242</f>
        <v>4520</v>
      </c>
      <c r="J99" s="5"/>
      <c r="S99" s="19"/>
      <c r="T99" s="19"/>
      <c r="U99" s="19"/>
      <c r="V99" s="19"/>
      <c r="W99" s="19"/>
      <c r="X99" s="19"/>
      <c r="Y99" s="19"/>
      <c r="Z99" s="19"/>
      <c r="AA99" s="19"/>
      <c r="AB99" s="19"/>
    </row>
    <row r="100" spans="1:28" ht="12" customHeight="1">
      <c r="A100" s="1"/>
      <c r="B100" s="16"/>
      <c r="C100" s="80">
        <v>3110</v>
      </c>
      <c r="D100" s="81" t="s">
        <v>38</v>
      </c>
      <c r="E100" s="82"/>
      <c r="F100" s="83"/>
      <c r="G100" s="83"/>
      <c r="H100" s="83"/>
      <c r="I100" s="55">
        <v>23000</v>
      </c>
      <c r="J100" s="5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</row>
    <row r="101" spans="1:28" ht="16.5" hidden="1" customHeight="1">
      <c r="A101" s="1"/>
      <c r="B101" s="16"/>
      <c r="C101" s="65" t="s">
        <v>102</v>
      </c>
      <c r="D101" s="66" t="s">
        <v>112</v>
      </c>
      <c r="E101" s="67">
        <f>SUM(E102:E114)</f>
        <v>12635470</v>
      </c>
      <c r="F101" s="71"/>
      <c r="G101" s="67">
        <f>SUM(G102:G114)</f>
        <v>8890669.3100000005</v>
      </c>
      <c r="H101" s="67">
        <f>SUM(H102:H114)</f>
        <v>11854225.746666668</v>
      </c>
      <c r="I101" s="68">
        <f>I102+I103+I104+I105+I106+I107+I108+I109+I110+I111+I112+I113+I114</f>
        <v>13532773</v>
      </c>
      <c r="J101" s="5"/>
      <c r="R101" s="20">
        <f>R102+R103+R116+R117+R145+R146+R173+R174+R201+R202+R215+R216+R229+R230+R289+R290+R304+R305+R319+R320+R334+R335+R349+R350+R364+R365+R379+R380+R396+R397+R411+R412+R426+R427+R490+R491+R504+R505+R580+R581+R598+R599+R612+R613+R625+R626+R131+R132+R159+R160+R275+R276</f>
        <v>36005205.94568225</v>
      </c>
      <c r="S101" s="18" t="s">
        <v>113</v>
      </c>
      <c r="T101" s="21"/>
      <c r="U101" s="21"/>
      <c r="V101" s="21"/>
      <c r="W101" s="21"/>
      <c r="X101" s="21"/>
      <c r="Y101" s="21"/>
      <c r="Z101" s="21"/>
      <c r="AA101" s="21"/>
      <c r="AB101" s="19"/>
    </row>
    <row r="102" spans="1:28" ht="12" hidden="1" customHeight="1">
      <c r="A102" s="1"/>
      <c r="B102" s="16"/>
      <c r="C102" s="69">
        <v>2111</v>
      </c>
      <c r="D102" s="53" t="s">
        <v>15</v>
      </c>
      <c r="E102" s="84">
        <f>7615620+996780</f>
        <v>8612400</v>
      </c>
      <c r="F102" s="71"/>
      <c r="G102" s="84">
        <v>6515619.9299999997</v>
      </c>
      <c r="H102" s="71">
        <f t="shared" ref="H102:H114" si="4">G102/9*12</f>
        <v>8687493.2400000002</v>
      </c>
      <c r="I102" s="55">
        <f>9408194-1592156</f>
        <v>7816038</v>
      </c>
      <c r="J102" s="5">
        <f>E102/12</f>
        <v>717700</v>
      </c>
      <c r="K102" s="6">
        <f>J102*1.031</f>
        <v>739948.7</v>
      </c>
      <c r="L102" s="6">
        <f>(J102*9)+(K102*3)</f>
        <v>8679146.0999999996</v>
      </c>
      <c r="M102" s="6">
        <f>I102-L102</f>
        <v>-863108.09999999963</v>
      </c>
      <c r="N102" s="7">
        <f>L102*1.084</f>
        <v>9408194.3724000007</v>
      </c>
      <c r="Q102" s="8">
        <f>N102/13*2.3</f>
        <v>1664526.6966553845</v>
      </c>
      <c r="R102" s="7">
        <v>1664526.6966553845</v>
      </c>
      <c r="S102" s="22"/>
      <c r="T102" s="21"/>
      <c r="U102" s="21"/>
      <c r="V102" s="21"/>
      <c r="W102" s="21"/>
      <c r="X102" s="21"/>
      <c r="Y102" s="21"/>
      <c r="Z102" s="21"/>
      <c r="AA102" s="21"/>
      <c r="AB102" s="19"/>
    </row>
    <row r="103" spans="1:28" ht="12" hidden="1" customHeight="1">
      <c r="A103" s="1"/>
      <c r="B103" s="16"/>
      <c r="C103" s="69">
        <v>2120</v>
      </c>
      <c r="D103" s="53" t="s">
        <v>17</v>
      </c>
      <c r="E103" s="84">
        <f>1674710+150000</f>
        <v>1824710</v>
      </c>
      <c r="F103" s="71"/>
      <c r="G103" s="84">
        <v>1361489.99</v>
      </c>
      <c r="H103" s="71">
        <f t="shared" si="4"/>
        <v>1815319.9866666666</v>
      </c>
      <c r="I103" s="55">
        <f>1993315-337330</f>
        <v>1655985</v>
      </c>
      <c r="J103" s="5">
        <f>E103/12</f>
        <v>152059.16666666666</v>
      </c>
      <c r="K103" s="6">
        <f>J103*1.031</f>
        <v>156773.00083333332</v>
      </c>
      <c r="L103" s="6">
        <f>(J103*9)+(K103*3)</f>
        <v>1838851.5024999999</v>
      </c>
      <c r="M103" s="6">
        <f>I103-L103</f>
        <v>-182866.50249999994</v>
      </c>
      <c r="N103" s="7">
        <f>L103*1.084</f>
        <v>1993315.02871</v>
      </c>
      <c r="Q103" s="8">
        <f>N103/13*2.3</f>
        <v>352663.42815638456</v>
      </c>
      <c r="R103" s="7">
        <v>352663.42815638456</v>
      </c>
      <c r="S103" s="21"/>
      <c r="T103" s="21"/>
      <c r="U103" s="21"/>
      <c r="V103" s="21"/>
      <c r="W103" s="21"/>
      <c r="X103" s="21"/>
      <c r="Y103" s="21"/>
      <c r="Z103" s="21"/>
      <c r="AA103" s="21"/>
      <c r="AB103" s="19"/>
    </row>
    <row r="104" spans="1:28" ht="12" hidden="1" customHeight="1">
      <c r="A104" s="1"/>
      <c r="B104" s="16"/>
      <c r="C104" s="69" t="s">
        <v>18</v>
      </c>
      <c r="D104" s="53" t="s">
        <v>19</v>
      </c>
      <c r="E104" s="84">
        <v>83560</v>
      </c>
      <c r="F104" s="71"/>
      <c r="G104" s="84">
        <v>75220.2</v>
      </c>
      <c r="H104" s="71">
        <f t="shared" si="4"/>
        <v>100293.59999999999</v>
      </c>
      <c r="I104" s="55">
        <v>100000</v>
      </c>
      <c r="J104" s="5"/>
      <c r="O104" s="8">
        <v>150000</v>
      </c>
      <c r="P104" s="8">
        <v>1588400</v>
      </c>
      <c r="S104" s="21"/>
      <c r="T104" s="21"/>
      <c r="U104" s="21"/>
      <c r="V104" s="21"/>
      <c r="W104" s="21"/>
      <c r="X104" s="21"/>
      <c r="Y104" s="21"/>
      <c r="Z104" s="21"/>
      <c r="AA104" s="21"/>
      <c r="AB104" s="19"/>
    </row>
    <row r="105" spans="1:28" ht="12" hidden="1" customHeight="1">
      <c r="A105" s="1"/>
      <c r="B105" s="16"/>
      <c r="C105" s="69" t="s">
        <v>104</v>
      </c>
      <c r="D105" s="53" t="s">
        <v>105</v>
      </c>
      <c r="E105" s="84">
        <v>3300</v>
      </c>
      <c r="F105" s="71"/>
      <c r="G105" s="84">
        <v>3300</v>
      </c>
      <c r="H105" s="71">
        <f t="shared" si="4"/>
        <v>4400</v>
      </c>
      <c r="I105" s="55">
        <v>5000</v>
      </c>
      <c r="J105" s="5"/>
      <c r="S105" s="21"/>
      <c r="T105" s="21"/>
      <c r="U105" s="21"/>
      <c r="V105" s="21"/>
      <c r="W105" s="21"/>
      <c r="X105" s="21"/>
      <c r="Y105" s="21"/>
      <c r="Z105" s="21"/>
      <c r="AA105" s="21"/>
      <c r="AB105" s="19"/>
    </row>
    <row r="106" spans="1:28" ht="12" hidden="1" customHeight="1">
      <c r="A106" s="1"/>
      <c r="B106" s="16"/>
      <c r="C106" s="69" t="s">
        <v>106</v>
      </c>
      <c r="D106" s="53" t="s">
        <v>107</v>
      </c>
      <c r="E106" s="84">
        <v>770000</v>
      </c>
      <c r="F106" s="71"/>
      <c r="G106" s="84">
        <v>286792.05</v>
      </c>
      <c r="H106" s="71">
        <f t="shared" si="4"/>
        <v>382389.4</v>
      </c>
      <c r="I106" s="55">
        <v>2241000</v>
      </c>
      <c r="J106" s="5"/>
      <c r="S106" s="23"/>
      <c r="T106" s="23"/>
      <c r="U106" s="23"/>
      <c r="V106" s="23"/>
      <c r="W106" s="23"/>
      <c r="X106" s="23"/>
      <c r="Y106" s="23"/>
      <c r="Z106" s="23"/>
      <c r="AA106" s="23"/>
      <c r="AB106" s="19"/>
    </row>
    <row r="107" spans="1:28" ht="12" hidden="1" customHeight="1">
      <c r="A107" s="1"/>
      <c r="B107" s="16"/>
      <c r="C107" s="69" t="s">
        <v>20</v>
      </c>
      <c r="D107" s="53" t="s">
        <v>21</v>
      </c>
      <c r="E107" s="84">
        <v>300000</v>
      </c>
      <c r="F107" s="71"/>
      <c r="G107" s="84">
        <v>220913.2</v>
      </c>
      <c r="H107" s="71">
        <f t="shared" si="4"/>
        <v>294550.93333333335</v>
      </c>
      <c r="I107" s="55">
        <v>250000</v>
      </c>
      <c r="J107" s="5"/>
      <c r="O107" s="8">
        <v>400000</v>
      </c>
      <c r="P107" s="8">
        <v>3700200</v>
      </c>
      <c r="S107" s="23"/>
      <c r="T107" s="23"/>
      <c r="U107" s="23"/>
      <c r="V107" s="23"/>
      <c r="W107" s="23"/>
      <c r="X107" s="23"/>
      <c r="Y107" s="23"/>
      <c r="Z107" s="23"/>
      <c r="AA107" s="23"/>
      <c r="AB107" s="19"/>
    </row>
    <row r="108" spans="1:28" ht="12" hidden="1" customHeight="1">
      <c r="A108" s="1"/>
      <c r="B108" s="16"/>
      <c r="C108" s="69" t="s">
        <v>22</v>
      </c>
      <c r="D108" s="53" t="s">
        <v>108</v>
      </c>
      <c r="E108" s="84">
        <v>6000</v>
      </c>
      <c r="F108" s="71"/>
      <c r="G108" s="84">
        <v>0</v>
      </c>
      <c r="H108" s="71">
        <f t="shared" si="4"/>
        <v>0</v>
      </c>
      <c r="I108" s="55">
        <v>7000</v>
      </c>
      <c r="J108" s="5"/>
      <c r="S108" s="23"/>
      <c r="T108" s="23"/>
      <c r="U108" s="23"/>
      <c r="V108" s="23"/>
      <c r="W108" s="23"/>
      <c r="X108" s="23"/>
      <c r="Y108" s="23"/>
      <c r="Z108" s="23"/>
      <c r="AA108" s="23"/>
      <c r="AB108" s="19"/>
    </row>
    <row r="109" spans="1:28" ht="12" hidden="1" customHeight="1">
      <c r="A109" s="1"/>
      <c r="B109" s="16"/>
      <c r="C109" s="69" t="s">
        <v>24</v>
      </c>
      <c r="D109" s="53" t="s">
        <v>109</v>
      </c>
      <c r="E109" s="71"/>
      <c r="F109" s="71"/>
      <c r="G109" s="71"/>
      <c r="H109" s="71">
        <f t="shared" si="4"/>
        <v>0</v>
      </c>
      <c r="I109" s="55">
        <v>0</v>
      </c>
      <c r="J109" s="5"/>
      <c r="S109" s="23"/>
      <c r="T109" s="23"/>
      <c r="U109" s="23"/>
      <c r="V109" s="23"/>
      <c r="W109" s="23"/>
      <c r="X109" s="23"/>
      <c r="Y109" s="23"/>
      <c r="Z109" s="23"/>
      <c r="AA109" s="23"/>
      <c r="AB109" s="19"/>
    </row>
    <row r="110" spans="1:28" ht="12" hidden="1" customHeight="1">
      <c r="A110" s="1"/>
      <c r="B110" s="16"/>
      <c r="C110" s="69" t="s">
        <v>26</v>
      </c>
      <c r="D110" s="53" t="s">
        <v>110</v>
      </c>
      <c r="E110" s="84">
        <v>110000</v>
      </c>
      <c r="F110" s="71"/>
      <c r="G110" s="84">
        <v>72272.73</v>
      </c>
      <c r="H110" s="71">
        <f t="shared" si="4"/>
        <v>96363.64</v>
      </c>
      <c r="I110" s="55">
        <v>143000</v>
      </c>
      <c r="J110" s="5"/>
      <c r="S110" s="23"/>
      <c r="T110" s="23"/>
      <c r="U110" s="23"/>
      <c r="V110" s="23"/>
      <c r="W110" s="23"/>
      <c r="X110" s="23"/>
      <c r="Y110" s="23"/>
      <c r="Z110" s="23"/>
      <c r="AA110" s="23"/>
      <c r="AB110" s="19"/>
    </row>
    <row r="111" spans="1:28" ht="12" hidden="1" customHeight="1">
      <c r="A111" s="1"/>
      <c r="B111" s="16"/>
      <c r="C111" s="69" t="s">
        <v>28</v>
      </c>
      <c r="D111" s="53" t="s">
        <v>29</v>
      </c>
      <c r="E111" s="84">
        <v>175000</v>
      </c>
      <c r="F111" s="71"/>
      <c r="G111" s="84">
        <v>79941.63</v>
      </c>
      <c r="H111" s="71">
        <f t="shared" si="4"/>
        <v>106588.84</v>
      </c>
      <c r="I111" s="55">
        <v>262500</v>
      </c>
      <c r="J111" s="5"/>
      <c r="S111" s="23"/>
      <c r="T111" s="23"/>
      <c r="U111" s="23"/>
      <c r="V111" s="23"/>
      <c r="W111" s="23"/>
      <c r="X111" s="23"/>
      <c r="Y111" s="23"/>
      <c r="Z111" s="23"/>
      <c r="AA111" s="23"/>
      <c r="AB111" s="19"/>
    </row>
    <row r="112" spans="1:28" ht="12" hidden="1" customHeight="1">
      <c r="A112" s="1"/>
      <c r="B112" s="16"/>
      <c r="C112" s="69" t="s">
        <v>30</v>
      </c>
      <c r="D112" s="53" t="s">
        <v>31</v>
      </c>
      <c r="E112" s="84">
        <v>713000</v>
      </c>
      <c r="F112" s="71"/>
      <c r="G112" s="84">
        <v>271269.58</v>
      </c>
      <c r="H112" s="71">
        <f t="shared" si="4"/>
        <v>361692.77333333337</v>
      </c>
      <c r="I112" s="55">
        <v>984000</v>
      </c>
      <c r="J112" s="5"/>
      <c r="S112" s="21"/>
      <c r="T112" s="21"/>
      <c r="U112" s="21"/>
      <c r="V112" s="21"/>
      <c r="W112" s="21"/>
      <c r="X112" s="21"/>
      <c r="Y112" s="21"/>
      <c r="Z112" s="21"/>
      <c r="AA112" s="21"/>
      <c r="AB112" s="19"/>
    </row>
    <row r="113" spans="1:28" ht="19.5" hidden="1" customHeight="1">
      <c r="A113" s="1"/>
      <c r="B113" s="16"/>
      <c r="C113" s="69" t="s">
        <v>32</v>
      </c>
      <c r="D113" s="53" t="s">
        <v>111</v>
      </c>
      <c r="E113" s="84">
        <v>27500</v>
      </c>
      <c r="F113" s="71"/>
      <c r="G113" s="84">
        <v>3850</v>
      </c>
      <c r="H113" s="71">
        <f t="shared" si="4"/>
        <v>5133.333333333333</v>
      </c>
      <c r="I113" s="55">
        <v>30250</v>
      </c>
      <c r="J113" s="5"/>
      <c r="S113" s="23"/>
      <c r="T113" s="23"/>
      <c r="U113" s="23"/>
      <c r="V113" s="23"/>
      <c r="W113" s="23"/>
      <c r="X113" s="23"/>
      <c r="Y113" s="23"/>
      <c r="Z113" s="23"/>
      <c r="AA113" s="23"/>
      <c r="AB113" s="19"/>
    </row>
    <row r="114" spans="1:28" ht="16.5" hidden="1" customHeight="1">
      <c r="A114" s="1"/>
      <c r="B114" s="16"/>
      <c r="C114" s="69" t="s">
        <v>34</v>
      </c>
      <c r="D114" s="53" t="s">
        <v>35</v>
      </c>
      <c r="E114" s="84">
        <v>10000</v>
      </c>
      <c r="F114" s="71"/>
      <c r="G114" s="84">
        <v>0</v>
      </c>
      <c r="H114" s="71">
        <f t="shared" si="4"/>
        <v>0</v>
      </c>
      <c r="I114" s="55">
        <v>38000</v>
      </c>
      <c r="J114" s="5"/>
      <c r="S114" s="21"/>
      <c r="T114" s="21"/>
      <c r="U114" s="21"/>
      <c r="V114" s="21"/>
      <c r="W114" s="21"/>
      <c r="X114" s="21"/>
      <c r="Y114" s="21"/>
      <c r="Z114" s="21"/>
      <c r="AA114" s="21"/>
      <c r="AB114" s="19"/>
    </row>
    <row r="115" spans="1:28" ht="25.5" hidden="1" customHeight="1">
      <c r="A115" s="1"/>
      <c r="B115" s="16"/>
      <c r="C115" s="65" t="s">
        <v>102</v>
      </c>
      <c r="D115" s="66" t="s">
        <v>114</v>
      </c>
      <c r="E115" s="67">
        <f>SUM(E116:E129)</f>
        <v>10919172</v>
      </c>
      <c r="F115" s="71"/>
      <c r="G115" s="67">
        <f>SUM(G116:G129)</f>
        <v>7889829.1500000004</v>
      </c>
      <c r="H115" s="67">
        <f>SUM(H116:H129)</f>
        <v>10519772.200000001</v>
      </c>
      <c r="I115" s="68">
        <f>I116+I117+I118+I119+I120+I121+I122+I123+I124+I125+I126+I127+I128+I129</f>
        <v>10454263.622980691</v>
      </c>
      <c r="J115" s="5"/>
      <c r="S115" s="21"/>
      <c r="T115" s="21"/>
      <c r="U115" s="21"/>
      <c r="V115" s="21"/>
      <c r="W115" s="21"/>
      <c r="X115" s="21"/>
      <c r="Y115" s="21"/>
      <c r="Z115" s="21"/>
      <c r="AA115" s="21"/>
      <c r="AB115" s="19"/>
    </row>
    <row r="116" spans="1:28" ht="12" hidden="1" customHeight="1">
      <c r="A116" s="1"/>
      <c r="B116" s="16"/>
      <c r="C116" s="69">
        <v>2111</v>
      </c>
      <c r="D116" s="53" t="s">
        <v>15</v>
      </c>
      <c r="E116" s="84">
        <v>7485180</v>
      </c>
      <c r="F116" s="71"/>
      <c r="G116" s="84">
        <v>5622680.6900000004</v>
      </c>
      <c r="H116" s="71">
        <f t="shared" ref="H116:H129" si="5">G116/9*12</f>
        <v>7496907.5866666669</v>
      </c>
      <c r="I116" s="55">
        <f>8176818-R116</f>
        <v>6730150.1792681534</v>
      </c>
      <c r="J116" s="5">
        <f>E116/12</f>
        <v>623765</v>
      </c>
      <c r="K116" s="6">
        <f>J116*1.031</f>
        <v>643101.71499999997</v>
      </c>
      <c r="L116" s="6">
        <f>(J116*9)+(K116*3)</f>
        <v>7543190.1449999996</v>
      </c>
      <c r="M116" s="6">
        <f>I116-L116</f>
        <v>-813039.96573184617</v>
      </c>
      <c r="N116" s="7">
        <f>L116*1.084</f>
        <v>8176818.1171800001</v>
      </c>
      <c r="Q116" s="8">
        <f>N116/13*2.3</f>
        <v>1446667.8207318462</v>
      </c>
      <c r="R116" s="7">
        <v>1446667.8207318462</v>
      </c>
      <c r="S116" s="23"/>
      <c r="T116" s="23"/>
      <c r="U116" s="23"/>
      <c r="V116" s="23"/>
      <c r="W116" s="23"/>
      <c r="X116" s="23"/>
      <c r="Y116" s="23"/>
      <c r="Z116" s="23"/>
      <c r="AA116" s="23"/>
      <c r="AB116" s="19"/>
    </row>
    <row r="117" spans="1:28" ht="12" hidden="1" customHeight="1">
      <c r="A117" s="1"/>
      <c r="B117" s="16"/>
      <c r="C117" s="69">
        <v>2120</v>
      </c>
      <c r="D117" s="53" t="s">
        <v>17</v>
      </c>
      <c r="E117" s="84">
        <v>1675190</v>
      </c>
      <c r="F117" s="71"/>
      <c r="G117" s="84">
        <v>1272315.8</v>
      </c>
      <c r="H117" s="71">
        <f t="shared" si="5"/>
        <v>1696421.0666666669</v>
      </c>
      <c r="I117" s="55">
        <f>1829979-R117</f>
        <v>1506213.4437125386</v>
      </c>
      <c r="J117" s="5">
        <f>E117/12</f>
        <v>139599.16666666666</v>
      </c>
      <c r="K117" s="6">
        <f>J117*1.031</f>
        <v>143926.74083333332</v>
      </c>
      <c r="L117" s="6">
        <f>(J117*9)+(K117*3)</f>
        <v>1688172.7224999999</v>
      </c>
      <c r="M117" s="6">
        <f>I117-L117</f>
        <v>-181959.27878746134</v>
      </c>
      <c r="N117" s="7">
        <f>L117*1.084</f>
        <v>1829979.23119</v>
      </c>
      <c r="Q117" s="8">
        <f>N117/13*2.3</f>
        <v>323765.55628746148</v>
      </c>
      <c r="R117" s="7">
        <v>323765.55628746148</v>
      </c>
      <c r="S117" s="23"/>
      <c r="T117" s="23"/>
      <c r="U117" s="23"/>
      <c r="V117" s="23"/>
      <c r="W117" s="23"/>
      <c r="X117" s="23"/>
      <c r="Y117" s="23"/>
      <c r="Z117" s="23"/>
      <c r="AA117" s="23"/>
      <c r="AB117" s="19"/>
    </row>
    <row r="118" spans="1:28" ht="12" hidden="1" customHeight="1">
      <c r="A118" s="1"/>
      <c r="B118" s="16"/>
      <c r="C118" s="69" t="s">
        <v>18</v>
      </c>
      <c r="D118" s="53" t="s">
        <v>19</v>
      </c>
      <c r="E118" s="84">
        <v>94100</v>
      </c>
      <c r="F118" s="71"/>
      <c r="G118" s="84">
        <v>87076.15</v>
      </c>
      <c r="H118" s="71">
        <f t="shared" si="5"/>
        <v>116101.53333333333</v>
      </c>
      <c r="I118" s="55">
        <v>100000</v>
      </c>
      <c r="J118" s="5"/>
      <c r="O118" s="8">
        <v>120000</v>
      </c>
      <c r="S118" s="23"/>
      <c r="T118" s="23"/>
      <c r="U118" s="23"/>
      <c r="V118" s="23"/>
      <c r="W118" s="23"/>
      <c r="X118" s="23"/>
      <c r="Y118" s="23"/>
      <c r="Z118" s="23"/>
      <c r="AA118" s="23"/>
      <c r="AB118" s="19"/>
    </row>
    <row r="119" spans="1:28" ht="12" hidden="1" customHeight="1">
      <c r="A119" s="1"/>
      <c r="B119" s="16"/>
      <c r="C119" s="69" t="s">
        <v>104</v>
      </c>
      <c r="D119" s="53" t="s">
        <v>105</v>
      </c>
      <c r="E119" s="84">
        <v>3300</v>
      </c>
      <c r="F119" s="71"/>
      <c r="G119" s="84">
        <v>3300</v>
      </c>
      <c r="H119" s="71">
        <f t="shared" si="5"/>
        <v>4400</v>
      </c>
      <c r="I119" s="55">
        <v>0</v>
      </c>
      <c r="J119" s="5"/>
      <c r="S119" s="23"/>
      <c r="T119" s="23"/>
      <c r="U119" s="23"/>
      <c r="V119" s="23"/>
      <c r="W119" s="23"/>
      <c r="X119" s="23"/>
      <c r="Y119" s="23"/>
      <c r="Z119" s="23"/>
      <c r="AA119" s="23"/>
      <c r="AB119" s="19"/>
    </row>
    <row r="120" spans="1:28" ht="12" hidden="1" customHeight="1">
      <c r="A120" s="1"/>
      <c r="B120" s="16"/>
      <c r="C120" s="69" t="s">
        <v>106</v>
      </c>
      <c r="D120" s="53" t="s">
        <v>107</v>
      </c>
      <c r="E120" s="84">
        <v>957000</v>
      </c>
      <c r="F120" s="71"/>
      <c r="G120" s="84">
        <v>492274.72</v>
      </c>
      <c r="H120" s="71">
        <f t="shared" si="5"/>
        <v>656366.29333333333</v>
      </c>
      <c r="I120" s="55">
        <v>1122400</v>
      </c>
      <c r="J120" s="5"/>
      <c r="S120" s="23"/>
      <c r="T120" s="23"/>
      <c r="U120" s="23"/>
      <c r="V120" s="23"/>
      <c r="W120" s="23"/>
      <c r="X120" s="23"/>
      <c r="Y120" s="23"/>
      <c r="Z120" s="23"/>
      <c r="AA120" s="23"/>
      <c r="AB120" s="19"/>
    </row>
    <row r="121" spans="1:28" ht="12" hidden="1" customHeight="1">
      <c r="A121" s="1"/>
      <c r="B121" s="16"/>
      <c r="C121" s="69" t="s">
        <v>20</v>
      </c>
      <c r="D121" s="53" t="s">
        <v>21</v>
      </c>
      <c r="E121" s="84">
        <v>293582</v>
      </c>
      <c r="F121" s="71"/>
      <c r="G121" s="84">
        <v>238740.64</v>
      </c>
      <c r="H121" s="71">
        <f t="shared" si="5"/>
        <v>318320.85333333339</v>
      </c>
      <c r="I121" s="55">
        <v>250000</v>
      </c>
      <c r="J121" s="5"/>
      <c r="O121" s="8">
        <v>350000</v>
      </c>
      <c r="S121" s="23"/>
      <c r="T121" s="23"/>
      <c r="U121" s="23"/>
      <c r="V121" s="23"/>
      <c r="W121" s="23"/>
      <c r="X121" s="23"/>
      <c r="Y121" s="23"/>
      <c r="Z121" s="23"/>
      <c r="AA121" s="23"/>
      <c r="AB121" s="19"/>
    </row>
    <row r="122" spans="1:28" ht="12" hidden="1" customHeight="1">
      <c r="A122" s="1"/>
      <c r="B122" s="16"/>
      <c r="C122" s="69" t="s">
        <v>22</v>
      </c>
      <c r="D122" s="53" t="s">
        <v>108</v>
      </c>
      <c r="E122" s="84">
        <v>990</v>
      </c>
      <c r="F122" s="71"/>
      <c r="G122" s="84">
        <v>756</v>
      </c>
      <c r="H122" s="71">
        <f t="shared" si="5"/>
        <v>1008</v>
      </c>
      <c r="I122" s="55">
        <v>3000</v>
      </c>
      <c r="J122" s="5"/>
      <c r="S122" s="23"/>
      <c r="T122" s="23"/>
      <c r="U122" s="23"/>
      <c r="V122" s="23"/>
      <c r="W122" s="23"/>
      <c r="X122" s="23"/>
      <c r="Y122" s="23"/>
      <c r="Z122" s="23"/>
      <c r="AA122" s="23"/>
      <c r="AB122" s="19"/>
    </row>
    <row r="123" spans="1:28" ht="12" hidden="1" customHeight="1">
      <c r="A123" s="1"/>
      <c r="B123" s="16"/>
      <c r="C123" s="69" t="s">
        <v>24</v>
      </c>
      <c r="D123" s="53" t="s">
        <v>109</v>
      </c>
      <c r="E123" s="71"/>
      <c r="F123" s="71"/>
      <c r="G123" s="71"/>
      <c r="H123" s="71">
        <f t="shared" si="5"/>
        <v>0</v>
      </c>
      <c r="I123" s="55">
        <v>0</v>
      </c>
      <c r="J123" s="5"/>
      <c r="S123" s="23"/>
      <c r="T123" s="23"/>
      <c r="U123" s="23"/>
      <c r="V123" s="23"/>
      <c r="W123" s="23"/>
      <c r="X123" s="23"/>
      <c r="Y123" s="23"/>
      <c r="Z123" s="23"/>
      <c r="AA123" s="23"/>
      <c r="AB123" s="19"/>
    </row>
    <row r="124" spans="1:28" ht="12" hidden="1" customHeight="1">
      <c r="A124" s="1"/>
      <c r="B124" s="16"/>
      <c r="C124" s="69" t="s">
        <v>26</v>
      </c>
      <c r="D124" s="53" t="s">
        <v>110</v>
      </c>
      <c r="E124" s="84">
        <v>52800</v>
      </c>
      <c r="F124" s="71"/>
      <c r="G124" s="84">
        <v>30269.06</v>
      </c>
      <c r="H124" s="71">
        <f t="shared" si="5"/>
        <v>40358.746666666666</v>
      </c>
      <c r="I124" s="55">
        <v>75000</v>
      </c>
      <c r="J124" s="5"/>
      <c r="S124" s="23"/>
      <c r="T124" s="23"/>
      <c r="U124" s="23"/>
      <c r="V124" s="23"/>
      <c r="W124" s="23"/>
      <c r="X124" s="23"/>
      <c r="Y124" s="23"/>
      <c r="Z124" s="23"/>
      <c r="AA124" s="23"/>
      <c r="AB124" s="19"/>
    </row>
    <row r="125" spans="1:28" ht="12" hidden="1" customHeight="1">
      <c r="A125" s="1"/>
      <c r="B125" s="16"/>
      <c r="C125" s="69" t="s">
        <v>28</v>
      </c>
      <c r="D125" s="53" t="s">
        <v>29</v>
      </c>
      <c r="E125" s="84">
        <v>91800</v>
      </c>
      <c r="F125" s="71"/>
      <c r="G125" s="84">
        <v>53022.400000000001</v>
      </c>
      <c r="H125" s="71">
        <f t="shared" si="5"/>
        <v>70696.533333333326</v>
      </c>
      <c r="I125" s="55">
        <v>120000</v>
      </c>
      <c r="J125" s="5"/>
      <c r="S125" s="23"/>
      <c r="T125" s="23"/>
      <c r="U125" s="23"/>
      <c r="V125" s="23"/>
      <c r="W125" s="23"/>
      <c r="X125" s="23"/>
      <c r="Y125" s="23"/>
      <c r="Z125" s="23"/>
      <c r="AA125" s="23"/>
      <c r="AB125" s="19"/>
    </row>
    <row r="126" spans="1:28" ht="12" hidden="1" customHeight="1">
      <c r="A126" s="1"/>
      <c r="B126" s="16"/>
      <c r="C126" s="69" t="s">
        <v>30</v>
      </c>
      <c r="D126" s="53" t="s">
        <v>31</v>
      </c>
      <c r="E126" s="84">
        <v>246200</v>
      </c>
      <c r="F126" s="71"/>
      <c r="G126" s="84">
        <v>79177.69</v>
      </c>
      <c r="H126" s="71">
        <f t="shared" si="5"/>
        <v>105570.25333333333</v>
      </c>
      <c r="I126" s="55">
        <v>522500</v>
      </c>
      <c r="J126" s="5"/>
      <c r="S126" s="23"/>
      <c r="T126" s="23"/>
      <c r="U126" s="23"/>
      <c r="V126" s="23"/>
      <c r="W126" s="23"/>
      <c r="X126" s="23"/>
      <c r="Y126" s="23"/>
      <c r="Z126" s="23"/>
      <c r="AA126" s="23"/>
      <c r="AB126" s="19"/>
    </row>
    <row r="127" spans="1:28" ht="16.5" hidden="1" customHeight="1">
      <c r="A127" s="1"/>
      <c r="B127" s="16"/>
      <c r="C127" s="69" t="s">
        <v>32</v>
      </c>
      <c r="D127" s="53" t="s">
        <v>111</v>
      </c>
      <c r="E127" s="84">
        <v>11770</v>
      </c>
      <c r="F127" s="71"/>
      <c r="G127" s="84">
        <v>4210</v>
      </c>
      <c r="H127" s="71">
        <f t="shared" si="5"/>
        <v>5613.333333333333</v>
      </c>
      <c r="I127" s="55">
        <v>16000</v>
      </c>
      <c r="J127" s="5"/>
      <c r="S127" s="23"/>
      <c r="T127" s="23"/>
      <c r="U127" s="23"/>
      <c r="V127" s="23"/>
      <c r="W127" s="23"/>
      <c r="X127" s="23"/>
      <c r="Y127" s="23"/>
      <c r="Z127" s="23"/>
      <c r="AA127" s="23"/>
      <c r="AB127" s="19"/>
    </row>
    <row r="128" spans="1:28" ht="21.75" hidden="1" customHeight="1">
      <c r="A128" s="1"/>
      <c r="B128" s="16"/>
      <c r="C128" s="69" t="s">
        <v>34</v>
      </c>
      <c r="D128" s="53" t="s">
        <v>35</v>
      </c>
      <c r="E128" s="84">
        <v>6600</v>
      </c>
      <c r="F128" s="71"/>
      <c r="G128" s="84">
        <v>6006</v>
      </c>
      <c r="H128" s="71">
        <f t="shared" si="5"/>
        <v>8008</v>
      </c>
      <c r="I128" s="55">
        <v>8000</v>
      </c>
      <c r="J128" s="5"/>
      <c r="S128" s="23"/>
      <c r="T128" s="23"/>
      <c r="U128" s="23"/>
      <c r="V128" s="23"/>
      <c r="W128" s="23"/>
      <c r="X128" s="23"/>
      <c r="Y128" s="23"/>
      <c r="Z128" s="23"/>
      <c r="AA128" s="23"/>
      <c r="AB128" s="19"/>
    </row>
    <row r="129" spans="1:28" ht="12" hidden="1" customHeight="1">
      <c r="A129" s="1"/>
      <c r="B129" s="16"/>
      <c r="C129" s="69" t="s">
        <v>36</v>
      </c>
      <c r="D129" s="53" t="s">
        <v>37</v>
      </c>
      <c r="E129" s="84">
        <v>660</v>
      </c>
      <c r="F129" s="71"/>
      <c r="G129" s="84">
        <v>0</v>
      </c>
      <c r="H129" s="71">
        <f t="shared" si="5"/>
        <v>0</v>
      </c>
      <c r="I129" s="55">
        <v>1000</v>
      </c>
      <c r="J129" s="5"/>
      <c r="S129" s="23"/>
      <c r="T129" s="23"/>
      <c r="U129" s="23"/>
      <c r="V129" s="23"/>
      <c r="W129" s="23"/>
      <c r="X129" s="23"/>
      <c r="Y129" s="23"/>
      <c r="Z129" s="23"/>
      <c r="AA129" s="23"/>
      <c r="AB129" s="19"/>
    </row>
    <row r="130" spans="1:28" ht="12" hidden="1" customHeight="1">
      <c r="A130" s="1"/>
      <c r="B130" s="16"/>
      <c r="C130" s="65" t="s">
        <v>102</v>
      </c>
      <c r="D130" s="66" t="s">
        <v>115</v>
      </c>
      <c r="E130" s="67">
        <f>SUM(E131:E143)</f>
        <v>3904053</v>
      </c>
      <c r="F130" s="71"/>
      <c r="G130" s="67">
        <f>SUM(G131:G143)</f>
        <v>2718299.37</v>
      </c>
      <c r="H130" s="67">
        <f>SUM(H131:H143)</f>
        <v>3624399.16</v>
      </c>
      <c r="I130" s="68">
        <f>I131+I132+I133+I134+I135+I136+I137+I138+I139+I140+I141+I142+I143</f>
        <v>4084530.0883760075</v>
      </c>
      <c r="J130" s="5"/>
      <c r="S130" s="23"/>
      <c r="T130" s="23"/>
      <c r="U130" s="23"/>
      <c r="V130" s="23"/>
      <c r="W130" s="23"/>
      <c r="X130" s="23"/>
      <c r="Y130" s="23"/>
      <c r="Z130" s="23"/>
      <c r="AA130" s="23"/>
      <c r="AB130" s="19"/>
    </row>
    <row r="131" spans="1:28" ht="12" hidden="1" customHeight="1">
      <c r="A131" s="1"/>
      <c r="B131" s="16"/>
      <c r="C131" s="69">
        <v>2111</v>
      </c>
      <c r="D131" s="53" t="s">
        <v>15</v>
      </c>
      <c r="E131" s="84">
        <v>2476144</v>
      </c>
      <c r="F131" s="71"/>
      <c r="G131" s="84">
        <v>1852989.77</v>
      </c>
      <c r="H131" s="71">
        <f t="shared" ref="H131:H143" si="6">G131/9*12</f>
        <v>2470653.0266666664</v>
      </c>
      <c r="I131" s="55">
        <f>2704942-R131</f>
        <v>2226375.3063068306</v>
      </c>
      <c r="J131" s="5">
        <f>E131/12</f>
        <v>206345.33333333334</v>
      </c>
      <c r="K131" s="6">
        <f>J131*1.031</f>
        <v>212742.03866666666</v>
      </c>
      <c r="L131" s="6">
        <f>(J131*9)+(K131*3)</f>
        <v>2495334.1159999999</v>
      </c>
      <c r="M131" s="6">
        <f>I131-L131</f>
        <v>-268958.80969316931</v>
      </c>
      <c r="N131" s="7">
        <f>L131*1.084</f>
        <v>2704942.1817439999</v>
      </c>
      <c r="Q131" s="8">
        <f>N131/13*2.3</f>
        <v>478566.69369316922</v>
      </c>
      <c r="R131" s="7">
        <v>478566.69369316922</v>
      </c>
      <c r="S131" s="23"/>
      <c r="T131" s="23"/>
      <c r="U131" s="23"/>
      <c r="V131" s="23"/>
      <c r="W131" s="23"/>
      <c r="X131" s="23"/>
      <c r="Y131" s="23"/>
      <c r="Z131" s="23"/>
      <c r="AA131" s="23"/>
      <c r="AB131" s="19"/>
    </row>
    <row r="132" spans="1:28" ht="12" hidden="1" customHeight="1">
      <c r="A132" s="1"/>
      <c r="B132" s="16"/>
      <c r="C132" s="69">
        <v>2120</v>
      </c>
      <c r="D132" s="53" t="s">
        <v>17</v>
      </c>
      <c r="E132" s="84">
        <v>548009</v>
      </c>
      <c r="F132" s="71"/>
      <c r="G132" s="84">
        <v>402969.13</v>
      </c>
      <c r="H132" s="71">
        <f t="shared" si="6"/>
        <v>537292.17333333334</v>
      </c>
      <c r="I132" s="55">
        <f>598646-R132</f>
        <v>492731.7820691769</v>
      </c>
      <c r="J132" s="5">
        <f>E132/12</f>
        <v>45667.416666666664</v>
      </c>
      <c r="K132" s="6">
        <f>J132*1.031</f>
        <v>47083.106583333327</v>
      </c>
      <c r="L132" s="6">
        <f>(J132*9)+(K132*3)</f>
        <v>552256.06975000002</v>
      </c>
      <c r="M132" s="6">
        <f>I132-L132</f>
        <v>-59524.287680823123</v>
      </c>
      <c r="N132" s="7">
        <f>L132*1.084</f>
        <v>598645.57960900012</v>
      </c>
      <c r="Q132" s="8">
        <f>N132/13*2.3</f>
        <v>105914.21793082308</v>
      </c>
      <c r="R132" s="7">
        <v>105914.21793082308</v>
      </c>
      <c r="S132" s="23"/>
      <c r="T132" s="23"/>
      <c r="U132" s="23"/>
      <c r="V132" s="23"/>
      <c r="W132" s="23"/>
      <c r="X132" s="23"/>
      <c r="Y132" s="23"/>
      <c r="Z132" s="23"/>
      <c r="AA132" s="23"/>
      <c r="AB132" s="19"/>
    </row>
    <row r="133" spans="1:28" ht="12" hidden="1" customHeight="1">
      <c r="A133" s="1"/>
      <c r="B133" s="16"/>
      <c r="C133" s="69" t="s">
        <v>18</v>
      </c>
      <c r="D133" s="53" t="s">
        <v>19</v>
      </c>
      <c r="E133" s="84">
        <v>42500</v>
      </c>
      <c r="F133" s="71"/>
      <c r="G133" s="84">
        <v>17137.900000000001</v>
      </c>
      <c r="H133" s="71">
        <f t="shared" si="6"/>
        <v>22850.533333333333</v>
      </c>
      <c r="I133" s="55">
        <v>50000</v>
      </c>
      <c r="J133" s="5"/>
      <c r="O133" s="8">
        <v>70000</v>
      </c>
      <c r="S133" s="23"/>
      <c r="T133" s="23"/>
      <c r="U133" s="23"/>
      <c r="V133" s="23"/>
      <c r="W133" s="23"/>
      <c r="X133" s="23"/>
      <c r="Y133" s="23"/>
      <c r="Z133" s="23"/>
      <c r="AA133" s="23"/>
      <c r="AB133" s="19"/>
    </row>
    <row r="134" spans="1:28" ht="12" hidden="1" customHeight="1">
      <c r="A134" s="1"/>
      <c r="B134" s="16"/>
      <c r="C134" s="69" t="s">
        <v>104</v>
      </c>
      <c r="D134" s="53" t="s">
        <v>105</v>
      </c>
      <c r="E134" s="84">
        <v>6600</v>
      </c>
      <c r="F134" s="71"/>
      <c r="G134" s="84">
        <v>3993.6</v>
      </c>
      <c r="H134" s="71">
        <f t="shared" si="6"/>
        <v>5324.8</v>
      </c>
      <c r="I134" s="55">
        <v>7920</v>
      </c>
      <c r="J134" s="5"/>
      <c r="S134" s="23"/>
      <c r="T134" s="23"/>
      <c r="U134" s="23"/>
      <c r="V134" s="23"/>
      <c r="W134" s="23"/>
      <c r="X134" s="23"/>
      <c r="Y134" s="23"/>
      <c r="Z134" s="23"/>
      <c r="AA134" s="23"/>
      <c r="AB134" s="19"/>
    </row>
    <row r="135" spans="1:28" ht="12" hidden="1" customHeight="1">
      <c r="A135" s="1"/>
      <c r="B135" s="16"/>
      <c r="C135" s="69" t="s">
        <v>106</v>
      </c>
      <c r="D135" s="53" t="s">
        <v>107</v>
      </c>
      <c r="E135" s="84">
        <v>330000</v>
      </c>
      <c r="F135" s="71"/>
      <c r="G135" s="84">
        <v>181637.86</v>
      </c>
      <c r="H135" s="71">
        <f t="shared" si="6"/>
        <v>242183.8133333333</v>
      </c>
      <c r="I135" s="55">
        <v>369400</v>
      </c>
      <c r="J135" s="5"/>
      <c r="S135" s="23"/>
      <c r="T135" s="23"/>
      <c r="U135" s="23"/>
      <c r="V135" s="23"/>
      <c r="W135" s="23"/>
      <c r="X135" s="23"/>
      <c r="Y135" s="23"/>
      <c r="Z135" s="23"/>
      <c r="AA135" s="23"/>
      <c r="AB135" s="19"/>
    </row>
    <row r="136" spans="1:28" ht="12" hidden="1" customHeight="1">
      <c r="A136" s="1"/>
      <c r="B136" s="16"/>
      <c r="C136" s="69" t="s">
        <v>20</v>
      </c>
      <c r="D136" s="53" t="s">
        <v>21</v>
      </c>
      <c r="E136" s="84">
        <v>150000</v>
      </c>
      <c r="F136" s="71"/>
      <c r="G136" s="84">
        <v>103122.45</v>
      </c>
      <c r="H136" s="71">
        <f t="shared" si="6"/>
        <v>137496.59999999998</v>
      </c>
      <c r="I136" s="55">
        <v>150000</v>
      </c>
      <c r="J136" s="5"/>
      <c r="O136" s="8">
        <v>200000</v>
      </c>
      <c r="S136" s="23"/>
      <c r="T136" s="23"/>
      <c r="U136" s="23"/>
      <c r="V136" s="23"/>
      <c r="W136" s="23"/>
      <c r="X136" s="23"/>
      <c r="Y136" s="23"/>
      <c r="Z136" s="23"/>
      <c r="AA136" s="23"/>
      <c r="AB136" s="19"/>
    </row>
    <row r="137" spans="1:28" ht="12" hidden="1" customHeight="1">
      <c r="A137" s="1"/>
      <c r="B137" s="16"/>
      <c r="C137" s="69" t="s">
        <v>22</v>
      </c>
      <c r="D137" s="53" t="s">
        <v>108</v>
      </c>
      <c r="E137" s="84">
        <v>3300</v>
      </c>
      <c r="F137" s="71"/>
      <c r="G137" s="84">
        <v>0</v>
      </c>
      <c r="H137" s="71">
        <f t="shared" si="6"/>
        <v>0</v>
      </c>
      <c r="I137" s="55">
        <v>3500</v>
      </c>
      <c r="J137" s="5"/>
      <c r="S137" s="23"/>
      <c r="T137" s="23"/>
      <c r="U137" s="23"/>
      <c r="V137" s="23"/>
      <c r="W137" s="23"/>
      <c r="X137" s="23"/>
      <c r="Y137" s="23"/>
      <c r="Z137" s="23"/>
      <c r="AA137" s="23"/>
      <c r="AB137" s="19"/>
    </row>
    <row r="138" spans="1:28" ht="12" hidden="1" customHeight="1">
      <c r="A138" s="1"/>
      <c r="B138" s="16"/>
      <c r="C138" s="69" t="s">
        <v>24</v>
      </c>
      <c r="D138" s="53" t="s">
        <v>109</v>
      </c>
      <c r="E138" s="71"/>
      <c r="F138" s="71"/>
      <c r="G138" s="71"/>
      <c r="H138" s="71">
        <f t="shared" si="6"/>
        <v>0</v>
      </c>
      <c r="I138" s="55">
        <v>0</v>
      </c>
      <c r="J138" s="5"/>
      <c r="S138" s="23"/>
      <c r="T138" s="23"/>
      <c r="U138" s="23"/>
      <c r="V138" s="23"/>
      <c r="W138" s="23"/>
      <c r="X138" s="23"/>
      <c r="Y138" s="23"/>
      <c r="Z138" s="23"/>
      <c r="AA138" s="23"/>
      <c r="AB138" s="19"/>
    </row>
    <row r="139" spans="1:28" ht="12" hidden="1" customHeight="1">
      <c r="A139" s="1"/>
      <c r="B139" s="16"/>
      <c r="C139" s="69" t="s">
        <v>26</v>
      </c>
      <c r="D139" s="53" t="s">
        <v>110</v>
      </c>
      <c r="E139" s="84">
        <v>25850</v>
      </c>
      <c r="F139" s="71"/>
      <c r="G139" s="84">
        <v>11046.67</v>
      </c>
      <c r="H139" s="71">
        <f t="shared" si="6"/>
        <v>14728.893333333333</v>
      </c>
      <c r="I139" s="55">
        <v>31023</v>
      </c>
      <c r="J139" s="5"/>
      <c r="S139" s="23"/>
      <c r="T139" s="23"/>
      <c r="U139" s="23"/>
      <c r="V139" s="23"/>
      <c r="W139" s="23"/>
      <c r="X139" s="23"/>
      <c r="Y139" s="23"/>
      <c r="Z139" s="23"/>
      <c r="AA139" s="23"/>
      <c r="AB139" s="19"/>
    </row>
    <row r="140" spans="1:28" ht="12" hidden="1" customHeight="1">
      <c r="A140" s="1"/>
      <c r="B140" s="16"/>
      <c r="C140" s="69" t="s">
        <v>28</v>
      </c>
      <c r="D140" s="53" t="s">
        <v>29</v>
      </c>
      <c r="E140" s="84">
        <v>50000</v>
      </c>
      <c r="F140" s="71"/>
      <c r="G140" s="84">
        <v>32685.02</v>
      </c>
      <c r="H140" s="71">
        <f t="shared" si="6"/>
        <v>43580.026666666665</v>
      </c>
      <c r="I140" s="55">
        <v>60000</v>
      </c>
      <c r="J140" s="5"/>
      <c r="S140" s="23"/>
      <c r="T140" s="23"/>
      <c r="U140" s="23"/>
      <c r="V140" s="23"/>
      <c r="W140" s="23"/>
      <c r="X140" s="23"/>
      <c r="Y140" s="23"/>
      <c r="Z140" s="23"/>
      <c r="AA140" s="23"/>
      <c r="AB140" s="19"/>
    </row>
    <row r="141" spans="1:28" ht="12" hidden="1" customHeight="1">
      <c r="A141" s="1"/>
      <c r="B141" s="16"/>
      <c r="C141" s="69" t="s">
        <v>30</v>
      </c>
      <c r="D141" s="53" t="s">
        <v>31</v>
      </c>
      <c r="E141" s="84">
        <v>264500</v>
      </c>
      <c r="F141" s="71"/>
      <c r="G141" s="84">
        <v>112386.97</v>
      </c>
      <c r="H141" s="71">
        <f t="shared" si="6"/>
        <v>149849.29333333333</v>
      </c>
      <c r="I141" s="55">
        <v>685000</v>
      </c>
      <c r="J141" s="5"/>
      <c r="S141" s="23"/>
      <c r="T141" s="23"/>
      <c r="U141" s="23"/>
      <c r="V141" s="23"/>
      <c r="W141" s="23"/>
      <c r="X141" s="23"/>
      <c r="Y141" s="23"/>
      <c r="Z141" s="23"/>
      <c r="AA141" s="23"/>
      <c r="AB141" s="19"/>
    </row>
    <row r="142" spans="1:28" ht="18.75" hidden="1" customHeight="1">
      <c r="A142" s="1"/>
      <c r="B142" s="16"/>
      <c r="C142" s="69" t="s">
        <v>32</v>
      </c>
      <c r="D142" s="53" t="s">
        <v>111</v>
      </c>
      <c r="E142" s="84">
        <v>1650</v>
      </c>
      <c r="F142" s="71"/>
      <c r="G142" s="84">
        <v>330</v>
      </c>
      <c r="H142" s="71">
        <f t="shared" si="6"/>
        <v>440</v>
      </c>
      <c r="I142" s="55">
        <v>1980</v>
      </c>
      <c r="J142" s="5"/>
      <c r="S142" s="23"/>
      <c r="T142" s="23"/>
      <c r="U142" s="23"/>
      <c r="V142" s="23"/>
      <c r="W142" s="23"/>
      <c r="X142" s="23"/>
      <c r="Y142" s="23"/>
      <c r="Z142" s="23"/>
      <c r="AA142" s="23"/>
      <c r="AB142" s="19"/>
    </row>
    <row r="143" spans="1:28" ht="30" hidden="1" customHeight="1">
      <c r="A143" s="1"/>
      <c r="B143" s="16"/>
      <c r="C143" s="69" t="s">
        <v>34</v>
      </c>
      <c r="D143" s="53" t="s">
        <v>35</v>
      </c>
      <c r="E143" s="84">
        <v>5500</v>
      </c>
      <c r="F143" s="71"/>
      <c r="G143" s="84">
        <v>0</v>
      </c>
      <c r="H143" s="71">
        <f t="shared" si="6"/>
        <v>0</v>
      </c>
      <c r="I143" s="55">
        <v>6600</v>
      </c>
      <c r="J143" s="5"/>
      <c r="S143" s="23"/>
      <c r="T143" s="23"/>
      <c r="U143" s="23"/>
      <c r="V143" s="23"/>
      <c r="W143" s="23"/>
      <c r="X143" s="23"/>
      <c r="Y143" s="23"/>
      <c r="Z143" s="23"/>
      <c r="AA143" s="23"/>
      <c r="AB143" s="19"/>
    </row>
    <row r="144" spans="1:28" ht="22.5" hidden="1" customHeight="1">
      <c r="A144" s="1"/>
      <c r="B144" s="16"/>
      <c r="C144" s="65" t="s">
        <v>102</v>
      </c>
      <c r="D144" s="66" t="s">
        <v>116</v>
      </c>
      <c r="E144" s="67">
        <f>SUM(E145:E157)</f>
        <v>16393930</v>
      </c>
      <c r="F144" s="71"/>
      <c r="G144" s="67">
        <f>SUM(G145:G157)</f>
        <v>11128277.9</v>
      </c>
      <c r="H144" s="67">
        <f>SUM(H145:H157)</f>
        <v>14837703.866666665</v>
      </c>
      <c r="I144" s="68">
        <f>I145+I146+I147+I148+I149+I150+I151+I152+I153+I154+I155+I156+I157</f>
        <v>16281403.642473925</v>
      </c>
      <c r="J144" s="5"/>
      <c r="S144" s="23"/>
      <c r="T144" s="23"/>
      <c r="U144" s="23"/>
      <c r="V144" s="23"/>
      <c r="W144" s="23"/>
      <c r="X144" s="23"/>
      <c r="Y144" s="23"/>
      <c r="Z144" s="23"/>
      <c r="AA144" s="23"/>
      <c r="AB144" s="19"/>
    </row>
    <row r="145" spans="1:28" ht="12" hidden="1" customHeight="1">
      <c r="A145" s="1"/>
      <c r="B145" s="16"/>
      <c r="C145" s="69">
        <v>2111</v>
      </c>
      <c r="D145" s="53" t="s">
        <v>15</v>
      </c>
      <c r="E145" s="84">
        <f>10020010+155687.65+485212.35</f>
        <v>10660910</v>
      </c>
      <c r="F145" s="71"/>
      <c r="G145" s="84">
        <v>8025910.3300000001</v>
      </c>
      <c r="H145" s="71">
        <f t="shared" ref="H145:H157" si="7">G145/9*12</f>
        <v>10701213.773333333</v>
      </c>
      <c r="I145" s="55">
        <f>11645989-R145</f>
        <v>9585544.8374390006</v>
      </c>
      <c r="J145" s="5">
        <f>E145/12</f>
        <v>888409.16666666663</v>
      </c>
      <c r="K145" s="6">
        <f>J145*1.031</f>
        <v>915949.85083333321</v>
      </c>
      <c r="L145" s="6">
        <f>(J145*9)+(K145*3)</f>
        <v>10743532.0525</v>
      </c>
      <c r="M145" s="6">
        <f>I145-L145</f>
        <v>-1157987.2150609996</v>
      </c>
      <c r="N145" s="7">
        <f>L145*1.084</f>
        <v>11645988.744910002</v>
      </c>
      <c r="Q145" s="8">
        <f>N145/13*2.3</f>
        <v>2060444.1625610001</v>
      </c>
      <c r="R145" s="7">
        <v>2060444.1625610001</v>
      </c>
      <c r="S145" s="23"/>
      <c r="T145" s="23"/>
      <c r="U145" s="23"/>
      <c r="V145" s="23"/>
      <c r="W145" s="23"/>
      <c r="X145" s="23"/>
      <c r="Y145" s="23"/>
      <c r="Z145" s="23"/>
      <c r="AA145" s="23"/>
      <c r="AB145" s="19"/>
    </row>
    <row r="146" spans="1:28" ht="12" hidden="1" customHeight="1">
      <c r="A146" s="1"/>
      <c r="B146" s="16"/>
      <c r="C146" s="69">
        <v>2120</v>
      </c>
      <c r="D146" s="53" t="s">
        <v>17</v>
      </c>
      <c r="E146" s="84">
        <f>2216599+150421</f>
        <v>2367020</v>
      </c>
      <c r="F146" s="71"/>
      <c r="G146" s="84">
        <v>1787320.45</v>
      </c>
      <c r="H146" s="71">
        <f t="shared" si="7"/>
        <v>2383093.9333333336</v>
      </c>
      <c r="I146" s="55">
        <f>2585735-R146</f>
        <v>2128258.8050349234</v>
      </c>
      <c r="J146" s="5">
        <f>E146/12</f>
        <v>197251.66666666666</v>
      </c>
      <c r="K146" s="6">
        <f>J146*1.031</f>
        <v>203366.46833333329</v>
      </c>
      <c r="L146" s="6">
        <f>(J146*9)+(K146*3)</f>
        <v>2385364.4049999998</v>
      </c>
      <c r="M146" s="6">
        <f>I146-L146</f>
        <v>-257105.59996507643</v>
      </c>
      <c r="N146" s="7">
        <f>L146*1.084</f>
        <v>2585735.0150199998</v>
      </c>
      <c r="Q146" s="8">
        <f>N146/13*2.3</f>
        <v>457476.19496507681</v>
      </c>
      <c r="R146" s="7">
        <v>457476.19496507681</v>
      </c>
      <c r="S146" s="23"/>
      <c r="T146" s="23"/>
      <c r="U146" s="23"/>
      <c r="V146" s="23"/>
      <c r="W146" s="23"/>
      <c r="X146" s="23"/>
      <c r="Y146" s="23"/>
      <c r="Z146" s="23"/>
      <c r="AA146" s="23"/>
      <c r="AB146" s="19"/>
    </row>
    <row r="147" spans="1:28" ht="12" hidden="1" customHeight="1">
      <c r="A147" s="1"/>
      <c r="B147" s="16"/>
      <c r="C147" s="69" t="s">
        <v>18</v>
      </c>
      <c r="D147" s="53" t="s">
        <v>19</v>
      </c>
      <c r="E147" s="84">
        <v>224500</v>
      </c>
      <c r="F147" s="71"/>
      <c r="G147" s="84">
        <v>170664.35</v>
      </c>
      <c r="H147" s="71">
        <f t="shared" si="7"/>
        <v>227552.46666666667</v>
      </c>
      <c r="I147" s="55">
        <v>180000</v>
      </c>
      <c r="J147" s="5"/>
      <c r="O147" s="8">
        <v>300000</v>
      </c>
      <c r="S147" s="23"/>
      <c r="T147" s="23"/>
      <c r="U147" s="23"/>
      <c r="V147" s="23"/>
      <c r="W147" s="23"/>
      <c r="X147" s="23"/>
      <c r="Y147" s="23"/>
      <c r="Z147" s="23"/>
      <c r="AA147" s="23"/>
      <c r="AB147" s="19"/>
    </row>
    <row r="148" spans="1:28" ht="12" hidden="1" customHeight="1">
      <c r="A148" s="1"/>
      <c r="B148" s="16"/>
      <c r="C148" s="69" t="s">
        <v>104</v>
      </c>
      <c r="D148" s="53" t="s">
        <v>105</v>
      </c>
      <c r="E148" s="84">
        <v>4400</v>
      </c>
      <c r="F148" s="71"/>
      <c r="G148" s="84">
        <v>0</v>
      </c>
      <c r="H148" s="71">
        <f t="shared" si="7"/>
        <v>0</v>
      </c>
      <c r="I148" s="55">
        <v>10000</v>
      </c>
      <c r="J148" s="5"/>
      <c r="S148" s="23"/>
      <c r="T148" s="23"/>
      <c r="U148" s="23"/>
      <c r="V148" s="23"/>
      <c r="W148" s="23"/>
      <c r="X148" s="23"/>
      <c r="Y148" s="23"/>
      <c r="Z148" s="23"/>
      <c r="AA148" s="23"/>
      <c r="AB148" s="19"/>
    </row>
    <row r="149" spans="1:28" ht="12" hidden="1" customHeight="1">
      <c r="A149" s="1"/>
      <c r="B149" s="16"/>
      <c r="C149" s="69" t="s">
        <v>106</v>
      </c>
      <c r="D149" s="53" t="s">
        <v>107</v>
      </c>
      <c r="E149" s="84">
        <v>1375000</v>
      </c>
      <c r="F149" s="71"/>
      <c r="G149" s="84">
        <v>502450.44</v>
      </c>
      <c r="H149" s="71">
        <f t="shared" si="7"/>
        <v>669933.92000000004</v>
      </c>
      <c r="I149" s="55">
        <v>2075000</v>
      </c>
      <c r="J149" s="5"/>
      <c r="S149" s="23"/>
      <c r="T149" s="23"/>
      <c r="U149" s="23"/>
      <c r="V149" s="23"/>
      <c r="W149" s="23"/>
      <c r="X149" s="23"/>
      <c r="Y149" s="23"/>
      <c r="Z149" s="23"/>
      <c r="AA149" s="23"/>
      <c r="AB149" s="19"/>
    </row>
    <row r="150" spans="1:28" ht="12" hidden="1" customHeight="1">
      <c r="A150" s="1"/>
      <c r="B150" s="16"/>
      <c r="C150" s="69" t="s">
        <v>20</v>
      </c>
      <c r="D150" s="53" t="s">
        <v>21</v>
      </c>
      <c r="E150" s="84">
        <v>495000</v>
      </c>
      <c r="F150" s="71"/>
      <c r="G150" s="84">
        <v>161618.14000000001</v>
      </c>
      <c r="H150" s="71">
        <f t="shared" si="7"/>
        <v>215490.85333333333</v>
      </c>
      <c r="I150" s="55">
        <v>200000</v>
      </c>
      <c r="J150" s="5"/>
      <c r="O150" s="8">
        <v>400000</v>
      </c>
      <c r="S150" s="23"/>
      <c r="T150" s="23"/>
      <c r="U150" s="23"/>
      <c r="V150" s="23"/>
      <c r="W150" s="23"/>
      <c r="X150" s="23"/>
      <c r="Y150" s="23"/>
      <c r="Z150" s="23"/>
      <c r="AA150" s="23"/>
      <c r="AB150" s="19"/>
    </row>
    <row r="151" spans="1:28" ht="12" hidden="1" customHeight="1">
      <c r="A151" s="1"/>
      <c r="B151" s="16"/>
      <c r="C151" s="69" t="s">
        <v>22</v>
      </c>
      <c r="D151" s="53" t="s">
        <v>108</v>
      </c>
      <c r="E151" s="84">
        <v>5500</v>
      </c>
      <c r="F151" s="71"/>
      <c r="G151" s="84">
        <v>0</v>
      </c>
      <c r="H151" s="71">
        <f t="shared" si="7"/>
        <v>0</v>
      </c>
      <c r="I151" s="55">
        <v>10000</v>
      </c>
      <c r="J151" s="5"/>
      <c r="S151" s="23"/>
      <c r="T151" s="23"/>
      <c r="U151" s="23"/>
      <c r="V151" s="23"/>
      <c r="W151" s="23"/>
      <c r="X151" s="23"/>
      <c r="Y151" s="23"/>
      <c r="Z151" s="23"/>
      <c r="AA151" s="23"/>
      <c r="AB151" s="19"/>
    </row>
    <row r="152" spans="1:28" ht="12" hidden="1" customHeight="1">
      <c r="A152" s="1"/>
      <c r="B152" s="16"/>
      <c r="C152" s="69" t="s">
        <v>24</v>
      </c>
      <c r="D152" s="53" t="s">
        <v>109</v>
      </c>
      <c r="E152" s="71"/>
      <c r="F152" s="71"/>
      <c r="G152" s="71"/>
      <c r="H152" s="71">
        <f t="shared" si="7"/>
        <v>0</v>
      </c>
      <c r="I152" s="55">
        <v>0</v>
      </c>
      <c r="J152" s="5"/>
      <c r="S152" s="23"/>
      <c r="T152" s="23"/>
      <c r="U152" s="23"/>
      <c r="V152" s="23"/>
      <c r="W152" s="23"/>
      <c r="X152" s="23"/>
      <c r="Y152" s="23"/>
      <c r="Z152" s="23"/>
      <c r="AA152" s="23"/>
      <c r="AB152" s="19"/>
    </row>
    <row r="153" spans="1:28" ht="12" hidden="1" customHeight="1">
      <c r="A153" s="1"/>
      <c r="B153" s="16"/>
      <c r="C153" s="69" t="s">
        <v>26</v>
      </c>
      <c r="D153" s="53" t="s">
        <v>110</v>
      </c>
      <c r="E153" s="84">
        <v>105600</v>
      </c>
      <c r="F153" s="71"/>
      <c r="G153" s="84">
        <v>68181.84</v>
      </c>
      <c r="H153" s="71">
        <f t="shared" si="7"/>
        <v>90909.119999999995</v>
      </c>
      <c r="I153" s="55">
        <v>161000</v>
      </c>
      <c r="J153" s="5"/>
      <c r="S153" s="23"/>
      <c r="T153" s="23"/>
      <c r="U153" s="23"/>
      <c r="V153" s="23"/>
      <c r="W153" s="23"/>
      <c r="X153" s="23"/>
      <c r="Y153" s="23"/>
      <c r="Z153" s="23"/>
      <c r="AA153" s="23"/>
      <c r="AB153" s="19"/>
    </row>
    <row r="154" spans="1:28" ht="12" hidden="1" customHeight="1">
      <c r="A154" s="1"/>
      <c r="B154" s="16"/>
      <c r="C154" s="69" t="s">
        <v>28</v>
      </c>
      <c r="D154" s="53" t="s">
        <v>29</v>
      </c>
      <c r="E154" s="84">
        <v>312500</v>
      </c>
      <c r="F154" s="71"/>
      <c r="G154" s="84">
        <v>131551.71</v>
      </c>
      <c r="H154" s="71">
        <f t="shared" si="7"/>
        <v>175402.28</v>
      </c>
      <c r="I154" s="55">
        <v>446200</v>
      </c>
      <c r="J154" s="5"/>
      <c r="S154" s="23"/>
      <c r="T154" s="23"/>
      <c r="U154" s="23"/>
      <c r="V154" s="23"/>
      <c r="W154" s="23"/>
      <c r="X154" s="23"/>
      <c r="Y154" s="23"/>
      <c r="Z154" s="23"/>
      <c r="AA154" s="23"/>
      <c r="AB154" s="19"/>
    </row>
    <row r="155" spans="1:28" ht="12" hidden="1" customHeight="1">
      <c r="A155" s="1"/>
      <c r="B155" s="16"/>
      <c r="C155" s="69" t="s">
        <v>30</v>
      </c>
      <c r="D155" s="53" t="s">
        <v>31</v>
      </c>
      <c r="E155" s="84">
        <v>805000</v>
      </c>
      <c r="F155" s="71"/>
      <c r="G155" s="84">
        <v>275820.64</v>
      </c>
      <c r="H155" s="71">
        <f t="shared" si="7"/>
        <v>367760.85333333339</v>
      </c>
      <c r="I155" s="55">
        <v>1420000</v>
      </c>
      <c r="J155" s="5"/>
      <c r="S155" s="23"/>
      <c r="T155" s="23"/>
      <c r="U155" s="23"/>
      <c r="V155" s="23"/>
      <c r="W155" s="23"/>
      <c r="X155" s="23"/>
      <c r="Y155" s="23"/>
      <c r="Z155" s="23"/>
      <c r="AA155" s="23"/>
      <c r="AB155" s="19"/>
    </row>
    <row r="156" spans="1:28" ht="19.5" hidden="1" customHeight="1">
      <c r="A156" s="1"/>
      <c r="B156" s="16"/>
      <c r="C156" s="69" t="s">
        <v>32</v>
      </c>
      <c r="D156" s="53" t="s">
        <v>111</v>
      </c>
      <c r="E156" s="84">
        <v>27500</v>
      </c>
      <c r="F156" s="71"/>
      <c r="G156" s="84">
        <v>1760</v>
      </c>
      <c r="H156" s="71">
        <f t="shared" si="7"/>
        <v>2346.6666666666665</v>
      </c>
      <c r="I156" s="55">
        <v>38400</v>
      </c>
      <c r="J156" s="5"/>
      <c r="S156" s="23"/>
      <c r="T156" s="23"/>
      <c r="U156" s="23"/>
      <c r="V156" s="23"/>
      <c r="W156" s="23"/>
      <c r="X156" s="23"/>
      <c r="Y156" s="23"/>
      <c r="Z156" s="23"/>
      <c r="AA156" s="23"/>
      <c r="AB156" s="19"/>
    </row>
    <row r="157" spans="1:28" ht="19.5" hidden="1" customHeight="1">
      <c r="A157" s="1"/>
      <c r="B157" s="16"/>
      <c r="C157" s="69" t="s">
        <v>34</v>
      </c>
      <c r="D157" s="53" t="s">
        <v>35</v>
      </c>
      <c r="E157" s="84">
        <v>11000</v>
      </c>
      <c r="F157" s="71"/>
      <c r="G157" s="84">
        <v>3000</v>
      </c>
      <c r="H157" s="71">
        <f t="shared" si="7"/>
        <v>4000</v>
      </c>
      <c r="I157" s="55">
        <v>27000</v>
      </c>
      <c r="J157" s="5"/>
      <c r="S157" s="23"/>
      <c r="T157" s="23"/>
      <c r="U157" s="23"/>
      <c r="V157" s="23"/>
      <c r="W157" s="23"/>
      <c r="X157" s="23"/>
      <c r="Y157" s="23"/>
      <c r="Z157" s="23"/>
      <c r="AA157" s="23"/>
      <c r="AB157" s="19"/>
    </row>
    <row r="158" spans="1:28" ht="24" hidden="1" customHeight="1">
      <c r="A158" s="1"/>
      <c r="B158" s="16"/>
      <c r="C158" s="65" t="s">
        <v>102</v>
      </c>
      <c r="D158" s="66" t="s">
        <v>117</v>
      </c>
      <c r="E158" s="67">
        <f>SUM(E159:E171)</f>
        <v>5138800</v>
      </c>
      <c r="F158" s="71"/>
      <c r="G158" s="67">
        <f>SUM(G159:G171)</f>
        <v>3241677.35</v>
      </c>
      <c r="H158" s="67">
        <f>SUM(H159:H171)</f>
        <v>4322236.4666666668</v>
      </c>
      <c r="I158" s="68">
        <f>I159+I160+I161+I162+I163+I164+I165+I166+I167+I168+I169+I170+I171</f>
        <v>5404513.5242384616</v>
      </c>
      <c r="J158" s="5"/>
      <c r="S158" s="23"/>
      <c r="T158" s="23"/>
      <c r="U158" s="23"/>
      <c r="V158" s="23"/>
      <c r="W158" s="23"/>
      <c r="X158" s="23"/>
      <c r="Y158" s="23"/>
      <c r="Z158" s="23"/>
      <c r="AA158" s="23"/>
      <c r="AB158" s="19"/>
    </row>
    <row r="159" spans="1:28" ht="12" hidden="1" customHeight="1">
      <c r="A159" s="1"/>
      <c r="B159" s="16"/>
      <c r="C159" s="69">
        <v>2111</v>
      </c>
      <c r="D159" s="53" t="s">
        <v>15</v>
      </c>
      <c r="E159" s="84">
        <v>3000000</v>
      </c>
      <c r="F159" s="71"/>
      <c r="G159" s="84">
        <v>2271206.48</v>
      </c>
      <c r="H159" s="71">
        <f t="shared" ref="H159:H171" si="8">G159/9*12</f>
        <v>3028275.3066666666</v>
      </c>
      <c r="I159" s="55">
        <f>3277203-R159</f>
        <v>2697390.1615384617</v>
      </c>
      <c r="J159" s="5">
        <f>E159/12</f>
        <v>250000</v>
      </c>
      <c r="K159" s="6">
        <f>J159*1.031</f>
        <v>257749.99999999997</v>
      </c>
      <c r="L159" s="6">
        <f>(J159*9)+(K159*3)</f>
        <v>3023250</v>
      </c>
      <c r="M159" s="6">
        <f>I159-L159</f>
        <v>-325859.83846153831</v>
      </c>
      <c r="N159" s="7">
        <f>L159*1.084</f>
        <v>3277203</v>
      </c>
      <c r="Q159" s="8">
        <f>N159/13*2.3</f>
        <v>579812.83846153843</v>
      </c>
      <c r="R159" s="7">
        <v>579812.83846153843</v>
      </c>
      <c r="S159" s="23"/>
      <c r="T159" s="23"/>
      <c r="U159" s="23"/>
      <c r="V159" s="23"/>
      <c r="W159" s="23"/>
      <c r="X159" s="23"/>
      <c r="Y159" s="23"/>
      <c r="Z159" s="23"/>
      <c r="AA159" s="23"/>
      <c r="AB159" s="19"/>
    </row>
    <row r="160" spans="1:28" ht="12" hidden="1" customHeight="1">
      <c r="A160" s="1"/>
      <c r="B160" s="16"/>
      <c r="C160" s="69">
        <v>2120</v>
      </c>
      <c r="D160" s="53" t="s">
        <v>17</v>
      </c>
      <c r="E160" s="84">
        <v>663000</v>
      </c>
      <c r="F160" s="71"/>
      <c r="G160" s="84">
        <v>480776.04</v>
      </c>
      <c r="H160" s="71">
        <f t="shared" si="8"/>
        <v>641034.72</v>
      </c>
      <c r="I160" s="55">
        <f>724262-R160</f>
        <v>596123.36270000006</v>
      </c>
      <c r="J160" s="5">
        <f>E160/12</f>
        <v>55250</v>
      </c>
      <c r="K160" s="6">
        <f>J160*1.031</f>
        <v>56962.749999999993</v>
      </c>
      <c r="L160" s="6">
        <f>(J160*9)+(K160*3)</f>
        <v>668138.25</v>
      </c>
      <c r="M160" s="6">
        <f>I160-L160</f>
        <v>-72014.887299999944</v>
      </c>
      <c r="N160" s="7">
        <f>L160*1.084</f>
        <v>724261.86300000001</v>
      </c>
      <c r="Q160" s="8">
        <f>N160/13*2.3</f>
        <v>128138.63729999999</v>
      </c>
      <c r="R160" s="7">
        <v>128138.63729999999</v>
      </c>
      <c r="S160" s="23"/>
      <c r="T160" s="23"/>
      <c r="U160" s="23"/>
      <c r="V160" s="23"/>
      <c r="W160" s="23"/>
      <c r="X160" s="23"/>
      <c r="Y160" s="23"/>
      <c r="Z160" s="23"/>
      <c r="AA160" s="23"/>
      <c r="AB160" s="19"/>
    </row>
    <row r="161" spans="1:28" ht="12" hidden="1" customHeight="1">
      <c r="A161" s="1"/>
      <c r="B161" s="16"/>
      <c r="C161" s="69" t="s">
        <v>18</v>
      </c>
      <c r="D161" s="53" t="s">
        <v>19</v>
      </c>
      <c r="E161" s="84">
        <v>63000</v>
      </c>
      <c r="F161" s="71"/>
      <c r="G161" s="84">
        <v>18618</v>
      </c>
      <c r="H161" s="71">
        <f t="shared" si="8"/>
        <v>24824</v>
      </c>
      <c r="I161" s="55">
        <v>100000</v>
      </c>
      <c r="J161" s="5"/>
      <c r="O161" s="8">
        <v>150000</v>
      </c>
      <c r="S161" s="23"/>
      <c r="T161" s="23"/>
      <c r="U161" s="23"/>
      <c r="V161" s="23"/>
      <c r="W161" s="23"/>
      <c r="X161" s="23"/>
      <c r="Y161" s="23"/>
      <c r="Z161" s="23"/>
      <c r="AA161" s="23"/>
      <c r="AB161" s="19"/>
    </row>
    <row r="162" spans="1:28" ht="12" hidden="1" customHeight="1">
      <c r="A162" s="1"/>
      <c r="B162" s="16"/>
      <c r="C162" s="69" t="s">
        <v>104</v>
      </c>
      <c r="D162" s="53" t="s">
        <v>105</v>
      </c>
      <c r="E162" s="84">
        <v>24000</v>
      </c>
      <c r="F162" s="71"/>
      <c r="G162" s="84">
        <v>3290</v>
      </c>
      <c r="H162" s="71">
        <f t="shared" si="8"/>
        <v>4386.6666666666661</v>
      </c>
      <c r="I162" s="55">
        <v>24000</v>
      </c>
      <c r="J162" s="5"/>
      <c r="S162" s="23"/>
      <c r="T162" s="23"/>
      <c r="U162" s="23"/>
      <c r="V162" s="23"/>
      <c r="W162" s="23"/>
      <c r="X162" s="23"/>
      <c r="Y162" s="23"/>
      <c r="Z162" s="23"/>
      <c r="AA162" s="23"/>
      <c r="AB162" s="19"/>
    </row>
    <row r="163" spans="1:28" ht="12" hidden="1" customHeight="1">
      <c r="A163" s="1"/>
      <c r="B163" s="16"/>
      <c r="C163" s="69" t="s">
        <v>106</v>
      </c>
      <c r="D163" s="53" t="s">
        <v>107</v>
      </c>
      <c r="E163" s="84">
        <v>500000</v>
      </c>
      <c r="F163" s="71"/>
      <c r="G163" s="84">
        <v>230750.59</v>
      </c>
      <c r="H163" s="71">
        <f t="shared" si="8"/>
        <v>307667.45333333331</v>
      </c>
      <c r="I163" s="55">
        <v>700000</v>
      </c>
      <c r="J163" s="5"/>
      <c r="S163" s="23"/>
      <c r="T163" s="23"/>
      <c r="U163" s="23"/>
      <c r="V163" s="23"/>
      <c r="W163" s="23"/>
      <c r="X163" s="23"/>
      <c r="Y163" s="23"/>
      <c r="Z163" s="23"/>
      <c r="AA163" s="23"/>
      <c r="AB163" s="19"/>
    </row>
    <row r="164" spans="1:28" ht="12" hidden="1" customHeight="1">
      <c r="A164" s="1"/>
      <c r="B164" s="16"/>
      <c r="C164" s="69" t="s">
        <v>20</v>
      </c>
      <c r="D164" s="53" t="s">
        <v>21</v>
      </c>
      <c r="E164" s="84">
        <v>185800</v>
      </c>
      <c r="F164" s="71"/>
      <c r="G164" s="84">
        <v>71671.17</v>
      </c>
      <c r="H164" s="71">
        <f t="shared" si="8"/>
        <v>95561.56</v>
      </c>
      <c r="I164" s="55">
        <v>150000</v>
      </c>
      <c r="J164" s="5"/>
      <c r="O164" s="8">
        <v>165000</v>
      </c>
      <c r="S164" s="23"/>
      <c r="T164" s="23"/>
      <c r="U164" s="23"/>
      <c r="V164" s="23"/>
      <c r="W164" s="23"/>
      <c r="X164" s="23"/>
      <c r="Y164" s="23"/>
      <c r="Z164" s="23"/>
      <c r="AA164" s="23"/>
      <c r="AB164" s="19"/>
    </row>
    <row r="165" spans="1:28" ht="12" hidden="1" customHeight="1">
      <c r="A165" s="1"/>
      <c r="B165" s="16"/>
      <c r="C165" s="69" t="s">
        <v>22</v>
      </c>
      <c r="D165" s="53" t="s">
        <v>108</v>
      </c>
      <c r="E165" s="84">
        <v>6000</v>
      </c>
      <c r="F165" s="71"/>
      <c r="G165" s="84">
        <v>0</v>
      </c>
      <c r="H165" s="71">
        <f t="shared" si="8"/>
        <v>0</v>
      </c>
      <c r="I165" s="55">
        <v>6000</v>
      </c>
      <c r="J165" s="5"/>
      <c r="S165" s="23"/>
      <c r="T165" s="23"/>
      <c r="U165" s="23"/>
      <c r="V165" s="23"/>
      <c r="W165" s="23"/>
      <c r="X165" s="23"/>
      <c r="Y165" s="23"/>
      <c r="Z165" s="23"/>
      <c r="AA165" s="23"/>
      <c r="AB165" s="19"/>
    </row>
    <row r="166" spans="1:28" ht="12" hidden="1" customHeight="1">
      <c r="A166" s="1"/>
      <c r="B166" s="16"/>
      <c r="C166" s="69" t="s">
        <v>24</v>
      </c>
      <c r="D166" s="53" t="s">
        <v>109</v>
      </c>
      <c r="E166" s="84">
        <v>500000</v>
      </c>
      <c r="F166" s="71"/>
      <c r="G166" s="84">
        <v>90850.72</v>
      </c>
      <c r="H166" s="71">
        <f t="shared" si="8"/>
        <v>121134.29333333333</v>
      </c>
      <c r="I166" s="55">
        <v>900000</v>
      </c>
      <c r="J166" s="5"/>
      <c r="S166" s="23"/>
      <c r="T166" s="23"/>
      <c r="U166" s="23"/>
      <c r="V166" s="23"/>
      <c r="W166" s="23"/>
      <c r="X166" s="23"/>
      <c r="Y166" s="23"/>
      <c r="Z166" s="23"/>
      <c r="AA166" s="23"/>
      <c r="AB166" s="19"/>
    </row>
    <row r="167" spans="1:28" ht="12" hidden="1" customHeight="1">
      <c r="A167" s="1"/>
      <c r="B167" s="16"/>
      <c r="C167" s="69" t="s">
        <v>26</v>
      </c>
      <c r="D167" s="53" t="s">
        <v>110</v>
      </c>
      <c r="E167" s="84">
        <v>28000</v>
      </c>
      <c r="F167" s="71"/>
      <c r="G167" s="84">
        <v>5334.33</v>
      </c>
      <c r="H167" s="71">
        <f t="shared" si="8"/>
        <v>7112.4400000000005</v>
      </c>
      <c r="I167" s="55">
        <v>40000</v>
      </c>
      <c r="J167" s="5"/>
      <c r="S167" s="23"/>
      <c r="T167" s="23"/>
      <c r="U167" s="23"/>
      <c r="V167" s="23"/>
      <c r="W167" s="23"/>
      <c r="X167" s="23"/>
      <c r="Y167" s="23"/>
      <c r="Z167" s="23"/>
      <c r="AA167" s="23"/>
      <c r="AB167" s="19"/>
    </row>
    <row r="168" spans="1:28" ht="12" hidden="1" customHeight="1">
      <c r="A168" s="1"/>
      <c r="B168" s="16"/>
      <c r="C168" s="69" t="s">
        <v>28</v>
      </c>
      <c r="D168" s="53" t="s">
        <v>29</v>
      </c>
      <c r="E168" s="84">
        <v>140000</v>
      </c>
      <c r="F168" s="71"/>
      <c r="G168" s="84">
        <v>55454.66</v>
      </c>
      <c r="H168" s="71">
        <f t="shared" si="8"/>
        <v>73939.546666666676</v>
      </c>
      <c r="I168" s="55">
        <v>160000</v>
      </c>
      <c r="J168" s="5"/>
      <c r="S168" s="23"/>
      <c r="T168" s="23"/>
      <c r="U168" s="23"/>
      <c r="V168" s="23"/>
      <c r="W168" s="23"/>
      <c r="X168" s="23"/>
      <c r="Y168" s="23"/>
      <c r="Z168" s="23"/>
      <c r="AA168" s="23"/>
      <c r="AB168" s="19"/>
    </row>
    <row r="169" spans="1:28" ht="12" hidden="1" customHeight="1">
      <c r="A169" s="1"/>
      <c r="B169" s="16"/>
      <c r="C169" s="69" t="s">
        <v>30</v>
      </c>
      <c r="D169" s="53" t="s">
        <v>31</v>
      </c>
      <c r="E169" s="71"/>
      <c r="F169" s="71"/>
      <c r="G169" s="71"/>
      <c r="H169" s="71">
        <f t="shared" si="8"/>
        <v>0</v>
      </c>
      <c r="I169" s="55">
        <v>0</v>
      </c>
      <c r="J169" s="5"/>
      <c r="S169" s="23"/>
      <c r="T169" s="23"/>
      <c r="U169" s="23"/>
      <c r="V169" s="23"/>
      <c r="W169" s="23"/>
      <c r="X169" s="23"/>
      <c r="Y169" s="23"/>
      <c r="Z169" s="23"/>
      <c r="AA169" s="23"/>
      <c r="AB169" s="19"/>
    </row>
    <row r="170" spans="1:28" ht="18.75" hidden="1" customHeight="1">
      <c r="A170" s="1"/>
      <c r="B170" s="16"/>
      <c r="C170" s="69" t="s">
        <v>32</v>
      </c>
      <c r="D170" s="53" t="s">
        <v>111</v>
      </c>
      <c r="E170" s="84">
        <v>20000</v>
      </c>
      <c r="F170" s="71"/>
      <c r="G170" s="84">
        <v>12195.36</v>
      </c>
      <c r="H170" s="71">
        <f t="shared" si="8"/>
        <v>16260.48</v>
      </c>
      <c r="I170" s="55">
        <v>22000</v>
      </c>
      <c r="J170" s="5"/>
      <c r="S170" s="23"/>
      <c r="T170" s="23"/>
      <c r="U170" s="23"/>
      <c r="V170" s="23"/>
      <c r="W170" s="23"/>
      <c r="X170" s="23"/>
      <c r="Y170" s="23"/>
      <c r="Z170" s="23"/>
      <c r="AA170" s="23"/>
      <c r="AB170" s="19"/>
    </row>
    <row r="171" spans="1:28" ht="28.5" hidden="1" customHeight="1">
      <c r="A171" s="1"/>
      <c r="B171" s="16"/>
      <c r="C171" s="69" t="s">
        <v>34</v>
      </c>
      <c r="D171" s="53" t="s">
        <v>35</v>
      </c>
      <c r="E171" s="84">
        <v>9000</v>
      </c>
      <c r="F171" s="71"/>
      <c r="G171" s="84">
        <v>1530</v>
      </c>
      <c r="H171" s="71">
        <f t="shared" si="8"/>
        <v>2040</v>
      </c>
      <c r="I171" s="55">
        <v>9000</v>
      </c>
      <c r="J171" s="5"/>
      <c r="S171" s="23"/>
      <c r="T171" s="23"/>
      <c r="U171" s="23"/>
      <c r="V171" s="23"/>
      <c r="W171" s="23"/>
      <c r="X171" s="23"/>
      <c r="Y171" s="23"/>
      <c r="Z171" s="23"/>
      <c r="AA171" s="23"/>
      <c r="AB171" s="19"/>
    </row>
    <row r="172" spans="1:28" ht="12" hidden="1" customHeight="1">
      <c r="A172" s="1"/>
      <c r="B172" s="16"/>
      <c r="C172" s="65" t="s">
        <v>102</v>
      </c>
      <c r="D172" s="66" t="s">
        <v>118</v>
      </c>
      <c r="E172" s="67">
        <f>SUM(E173:E185)</f>
        <v>13789566</v>
      </c>
      <c r="F172" s="71"/>
      <c r="G172" s="67">
        <f>SUM(G173:G185)</f>
        <v>9992310.8499999996</v>
      </c>
      <c r="H172" s="67">
        <f>SUM(H173:H185)</f>
        <v>13323081.133333335</v>
      </c>
      <c r="I172" s="68">
        <f>I173+I174+I175+I176+I177+I178+I179+I180+I181+I182+I183+I184+I185</f>
        <v>13548108.306237055</v>
      </c>
      <c r="J172" s="5"/>
      <c r="S172" s="23"/>
      <c r="T172" s="23"/>
      <c r="U172" s="23"/>
      <c r="V172" s="23"/>
      <c r="W172" s="23"/>
      <c r="X172" s="23"/>
      <c r="Y172" s="23"/>
      <c r="Z172" s="23"/>
      <c r="AA172" s="23"/>
      <c r="AB172" s="19"/>
    </row>
    <row r="173" spans="1:28" ht="12" hidden="1" customHeight="1">
      <c r="A173" s="1"/>
      <c r="B173" s="16"/>
      <c r="C173" s="69">
        <v>2111</v>
      </c>
      <c r="D173" s="53" t="s">
        <v>15</v>
      </c>
      <c r="E173" s="84">
        <f>8591850+483975</f>
        <v>9075825</v>
      </c>
      <c r="F173" s="71"/>
      <c r="G173" s="84">
        <v>6867424.75</v>
      </c>
      <c r="H173" s="71">
        <f>G173/9*12</f>
        <v>9156566.333333334</v>
      </c>
      <c r="I173" s="55">
        <f>9914440-R173</f>
        <v>8160346.7151232697</v>
      </c>
      <c r="J173" s="5">
        <f>E173/12</f>
        <v>756318.75</v>
      </c>
      <c r="K173" s="6">
        <f>J173*1.031</f>
        <v>779764.63124999998</v>
      </c>
      <c r="L173" s="6">
        <f>(J173*9)+(K173*3)</f>
        <v>9146162.6437500007</v>
      </c>
      <c r="M173" s="6">
        <f>I173-L173</f>
        <v>-985815.92862673104</v>
      </c>
      <c r="N173" s="7">
        <f>L173*1.084</f>
        <v>9914440.3058250006</v>
      </c>
      <c r="Q173" s="8">
        <f>N173/13*2.3</f>
        <v>1754093.2848767308</v>
      </c>
      <c r="R173" s="7">
        <v>1754093.2848767308</v>
      </c>
      <c r="S173" s="23"/>
      <c r="T173" s="23"/>
      <c r="U173" s="23"/>
      <c r="V173" s="23"/>
      <c r="W173" s="23"/>
      <c r="X173" s="23"/>
      <c r="Y173" s="23"/>
      <c r="Z173" s="23"/>
      <c r="AA173" s="23"/>
      <c r="AB173" s="19"/>
    </row>
    <row r="174" spans="1:28" ht="12" hidden="1" customHeight="1">
      <c r="A174" s="1"/>
      <c r="B174" s="16"/>
      <c r="C174" s="69">
        <v>2120</v>
      </c>
      <c r="D174" s="53" t="s">
        <v>17</v>
      </c>
      <c r="E174" s="84">
        <f>1744490+256206</f>
        <v>2000696</v>
      </c>
      <c r="F174" s="71"/>
      <c r="G174" s="84">
        <v>1515287.84</v>
      </c>
      <c r="H174" s="71">
        <f t="shared" ref="H174:H237" si="9">G174/9*12</f>
        <v>2020383.7866666669</v>
      </c>
      <c r="I174" s="55">
        <f>2185562-R174</f>
        <v>1798885.5911137846</v>
      </c>
      <c r="J174" s="5">
        <f>E174/12</f>
        <v>166724.66666666666</v>
      </c>
      <c r="K174" s="6">
        <f>J174*1.031</f>
        <v>171893.13133333332</v>
      </c>
      <c r="L174" s="6">
        <f>(J174*9)+(K174*3)</f>
        <v>2016201.3939999999</v>
      </c>
      <c r="M174" s="6">
        <f>I174-L174</f>
        <v>-217315.80288621527</v>
      </c>
      <c r="N174" s="7">
        <f>L174*1.084</f>
        <v>2185562.311096</v>
      </c>
      <c r="Q174" s="8">
        <f>N174/13*2.3</f>
        <v>386676.40888621536</v>
      </c>
      <c r="R174" s="7">
        <v>386676.40888621536</v>
      </c>
      <c r="S174" s="23"/>
      <c r="T174" s="23"/>
      <c r="U174" s="23"/>
      <c r="V174" s="23"/>
      <c r="W174" s="23"/>
      <c r="X174" s="23"/>
      <c r="Y174" s="23"/>
      <c r="Z174" s="23"/>
      <c r="AA174" s="23"/>
      <c r="AB174" s="19"/>
    </row>
    <row r="175" spans="1:28" ht="12" hidden="1" customHeight="1">
      <c r="A175" s="1"/>
      <c r="B175" s="16"/>
      <c r="C175" s="69" t="s">
        <v>18</v>
      </c>
      <c r="D175" s="53" t="s">
        <v>19</v>
      </c>
      <c r="E175" s="84">
        <v>178000</v>
      </c>
      <c r="F175" s="71"/>
      <c r="G175" s="84">
        <v>156007.32</v>
      </c>
      <c r="H175" s="71">
        <f t="shared" si="9"/>
        <v>208009.76</v>
      </c>
      <c r="I175" s="55">
        <v>200000</v>
      </c>
      <c r="J175" s="5"/>
      <c r="O175" s="8">
        <v>200000</v>
      </c>
      <c r="S175" s="23"/>
      <c r="T175" s="23"/>
      <c r="U175" s="23"/>
      <c r="V175" s="23"/>
      <c r="W175" s="23"/>
      <c r="X175" s="23"/>
      <c r="Y175" s="23"/>
      <c r="Z175" s="23"/>
      <c r="AA175" s="23"/>
      <c r="AB175" s="19"/>
    </row>
    <row r="176" spans="1:28" ht="12" hidden="1" customHeight="1">
      <c r="A176" s="1"/>
      <c r="B176" s="16"/>
      <c r="C176" s="69" t="s">
        <v>104</v>
      </c>
      <c r="D176" s="53" t="s">
        <v>105</v>
      </c>
      <c r="E176" s="84">
        <v>4400</v>
      </c>
      <c r="F176" s="71"/>
      <c r="G176" s="84">
        <v>0</v>
      </c>
      <c r="H176" s="71">
        <f t="shared" si="9"/>
        <v>0</v>
      </c>
      <c r="I176" s="55">
        <v>10000</v>
      </c>
      <c r="J176" s="5"/>
      <c r="S176" s="23"/>
      <c r="T176" s="23"/>
      <c r="U176" s="23"/>
      <c r="V176" s="23"/>
      <c r="W176" s="23"/>
      <c r="X176" s="23"/>
      <c r="Y176" s="23"/>
      <c r="Z176" s="23"/>
      <c r="AA176" s="23"/>
      <c r="AB176" s="19"/>
    </row>
    <row r="177" spans="1:28" ht="12" hidden="1" customHeight="1">
      <c r="A177" s="1"/>
      <c r="B177" s="16"/>
      <c r="C177" s="69" t="s">
        <v>106</v>
      </c>
      <c r="D177" s="53" t="s">
        <v>107</v>
      </c>
      <c r="E177" s="84">
        <v>998230</v>
      </c>
      <c r="F177" s="71"/>
      <c r="G177" s="84">
        <v>529743.06999999995</v>
      </c>
      <c r="H177" s="71">
        <f t="shared" si="9"/>
        <v>706324.09333333327</v>
      </c>
      <c r="I177" s="55">
        <v>1200000</v>
      </c>
      <c r="J177" s="5"/>
      <c r="S177" s="23"/>
      <c r="T177" s="23"/>
      <c r="U177" s="23"/>
      <c r="V177" s="23"/>
      <c r="W177" s="23"/>
      <c r="X177" s="23"/>
      <c r="Y177" s="23"/>
      <c r="Z177" s="23"/>
      <c r="AA177" s="23"/>
      <c r="AB177" s="19"/>
    </row>
    <row r="178" spans="1:28" ht="12" hidden="1" customHeight="1">
      <c r="A178" s="1"/>
      <c r="B178" s="16"/>
      <c r="C178" s="69" t="s">
        <v>20</v>
      </c>
      <c r="D178" s="53" t="s">
        <v>21</v>
      </c>
      <c r="E178" s="84">
        <v>400000</v>
      </c>
      <c r="F178" s="71"/>
      <c r="G178" s="84">
        <v>314835.03000000003</v>
      </c>
      <c r="H178" s="71">
        <f t="shared" si="9"/>
        <v>419780.04000000004</v>
      </c>
      <c r="I178" s="55">
        <v>350000</v>
      </c>
      <c r="J178" s="5"/>
      <c r="O178" s="8">
        <v>400000</v>
      </c>
      <c r="S178" s="23"/>
      <c r="T178" s="23"/>
      <c r="U178" s="23"/>
      <c r="V178" s="23"/>
      <c r="W178" s="23"/>
      <c r="X178" s="23"/>
      <c r="Y178" s="23"/>
      <c r="Z178" s="23"/>
      <c r="AA178" s="23"/>
      <c r="AB178" s="19"/>
    </row>
    <row r="179" spans="1:28" ht="12" hidden="1" customHeight="1">
      <c r="A179" s="1"/>
      <c r="B179" s="16"/>
      <c r="C179" s="69" t="s">
        <v>22</v>
      </c>
      <c r="D179" s="53" t="s">
        <v>108</v>
      </c>
      <c r="E179" s="84">
        <v>5470</v>
      </c>
      <c r="F179" s="71"/>
      <c r="G179" s="84">
        <v>0</v>
      </c>
      <c r="H179" s="71">
        <f t="shared" si="9"/>
        <v>0</v>
      </c>
      <c r="I179" s="55">
        <v>10000</v>
      </c>
      <c r="J179" s="5"/>
      <c r="S179" s="23"/>
      <c r="T179" s="23"/>
      <c r="U179" s="23"/>
      <c r="V179" s="23"/>
      <c r="W179" s="23"/>
      <c r="X179" s="23"/>
      <c r="Y179" s="23"/>
      <c r="Z179" s="23"/>
      <c r="AA179" s="23"/>
      <c r="AB179" s="19"/>
    </row>
    <row r="180" spans="1:28" ht="12" hidden="1" customHeight="1">
      <c r="A180" s="1"/>
      <c r="B180" s="16"/>
      <c r="C180" s="69" t="s">
        <v>24</v>
      </c>
      <c r="D180" s="53" t="s">
        <v>109</v>
      </c>
      <c r="E180" s="71"/>
      <c r="F180" s="71"/>
      <c r="G180" s="71"/>
      <c r="H180" s="71">
        <f t="shared" si="9"/>
        <v>0</v>
      </c>
      <c r="I180" s="55">
        <v>0</v>
      </c>
      <c r="J180" s="5"/>
      <c r="S180" s="23"/>
      <c r="T180" s="23"/>
      <c r="U180" s="23"/>
      <c r="V180" s="23"/>
      <c r="W180" s="23"/>
      <c r="X180" s="23"/>
      <c r="Y180" s="23"/>
      <c r="Z180" s="23"/>
      <c r="AA180" s="23"/>
      <c r="AB180" s="19"/>
    </row>
    <row r="181" spans="1:28" ht="12" hidden="1" customHeight="1">
      <c r="A181" s="1"/>
      <c r="B181" s="16"/>
      <c r="C181" s="69" t="s">
        <v>26</v>
      </c>
      <c r="D181" s="53" t="s">
        <v>110</v>
      </c>
      <c r="E181" s="84">
        <v>88000</v>
      </c>
      <c r="F181" s="71"/>
      <c r="G181" s="84">
        <v>87725.95</v>
      </c>
      <c r="H181" s="71">
        <f t="shared" si="9"/>
        <v>116967.93333333332</v>
      </c>
      <c r="I181" s="55">
        <v>144956</v>
      </c>
      <c r="J181" s="5"/>
      <c r="S181" s="23"/>
      <c r="T181" s="23"/>
      <c r="U181" s="23"/>
      <c r="V181" s="23"/>
      <c r="W181" s="23"/>
      <c r="X181" s="23"/>
      <c r="Y181" s="23"/>
      <c r="Z181" s="23"/>
      <c r="AA181" s="23"/>
      <c r="AB181" s="19"/>
    </row>
    <row r="182" spans="1:28" ht="12" hidden="1" customHeight="1">
      <c r="A182" s="1"/>
      <c r="B182" s="16"/>
      <c r="C182" s="69" t="s">
        <v>28</v>
      </c>
      <c r="D182" s="53" t="s">
        <v>29</v>
      </c>
      <c r="E182" s="84">
        <v>275000</v>
      </c>
      <c r="F182" s="71"/>
      <c r="G182" s="84">
        <v>126707.16</v>
      </c>
      <c r="H182" s="71">
        <f t="shared" si="9"/>
        <v>168942.88</v>
      </c>
      <c r="I182" s="55">
        <v>290000</v>
      </c>
      <c r="J182" s="5"/>
      <c r="S182" s="23"/>
      <c r="T182" s="23"/>
      <c r="U182" s="23"/>
      <c r="V182" s="23"/>
      <c r="W182" s="23"/>
      <c r="X182" s="23"/>
      <c r="Y182" s="23"/>
      <c r="Z182" s="23"/>
      <c r="AA182" s="23"/>
      <c r="AB182" s="19"/>
    </row>
    <row r="183" spans="1:28" ht="12" hidden="1" customHeight="1">
      <c r="A183" s="1"/>
      <c r="B183" s="16"/>
      <c r="C183" s="69" t="s">
        <v>30</v>
      </c>
      <c r="D183" s="53" t="s">
        <v>31</v>
      </c>
      <c r="E183" s="84">
        <v>747500</v>
      </c>
      <c r="F183" s="71"/>
      <c r="G183" s="84">
        <v>386199.73</v>
      </c>
      <c r="H183" s="71">
        <f t="shared" si="9"/>
        <v>514932.97333333333</v>
      </c>
      <c r="I183" s="55">
        <v>1357920</v>
      </c>
      <c r="J183" s="5"/>
      <c r="S183" s="23"/>
      <c r="T183" s="23"/>
      <c r="U183" s="23"/>
      <c r="V183" s="23"/>
      <c r="W183" s="23"/>
      <c r="X183" s="23"/>
      <c r="Y183" s="23"/>
      <c r="Z183" s="23"/>
      <c r="AA183" s="23"/>
      <c r="AB183" s="19"/>
    </row>
    <row r="184" spans="1:28" ht="14.25" hidden="1" customHeight="1">
      <c r="A184" s="1"/>
      <c r="B184" s="16"/>
      <c r="C184" s="69" t="s">
        <v>32</v>
      </c>
      <c r="D184" s="53" t="s">
        <v>111</v>
      </c>
      <c r="E184" s="84">
        <v>12210</v>
      </c>
      <c r="F184" s="71"/>
      <c r="G184" s="84">
        <v>5180</v>
      </c>
      <c r="H184" s="71">
        <f t="shared" si="9"/>
        <v>6906.6666666666661</v>
      </c>
      <c r="I184" s="55">
        <v>15000</v>
      </c>
      <c r="J184" s="5"/>
      <c r="S184" s="23"/>
      <c r="T184" s="23"/>
      <c r="U184" s="23"/>
      <c r="V184" s="23"/>
      <c r="W184" s="23"/>
      <c r="X184" s="23"/>
      <c r="Y184" s="23"/>
      <c r="Z184" s="23"/>
      <c r="AA184" s="23"/>
      <c r="AB184" s="19"/>
    </row>
    <row r="185" spans="1:28" ht="24.75" hidden="1" customHeight="1">
      <c r="A185" s="1"/>
      <c r="B185" s="16"/>
      <c r="C185" s="69" t="s">
        <v>34</v>
      </c>
      <c r="D185" s="53" t="s">
        <v>35</v>
      </c>
      <c r="E185" s="84">
        <v>4235</v>
      </c>
      <c r="F185" s="71"/>
      <c r="G185" s="84">
        <v>3200</v>
      </c>
      <c r="H185" s="71">
        <f t="shared" si="9"/>
        <v>4266.6666666666661</v>
      </c>
      <c r="I185" s="55">
        <v>11000</v>
      </c>
      <c r="J185" s="5"/>
      <c r="S185" s="23"/>
      <c r="T185" s="23"/>
      <c r="U185" s="23"/>
      <c r="V185" s="23"/>
      <c r="W185" s="23"/>
      <c r="X185" s="23"/>
      <c r="Y185" s="23"/>
      <c r="Z185" s="23"/>
      <c r="AA185" s="23"/>
      <c r="AB185" s="19"/>
    </row>
    <row r="186" spans="1:28" ht="12" hidden="1" customHeight="1">
      <c r="A186" s="1"/>
      <c r="B186" s="16"/>
      <c r="C186" s="65">
        <v>611010</v>
      </c>
      <c r="D186" s="66" t="s">
        <v>119</v>
      </c>
      <c r="E186" s="67">
        <f>SUM(E187:E199)</f>
        <v>1481300</v>
      </c>
      <c r="F186" s="71"/>
      <c r="G186" s="85">
        <f>SUM(G187:G198)</f>
        <v>987022.64999999991</v>
      </c>
      <c r="H186" s="85">
        <f>SUM(H187:H199)</f>
        <v>1316030.2</v>
      </c>
      <c r="I186" s="68">
        <f>I187+I188+I189+I190+I191+I192+I193+I194+I195+I196+I197+I198+I199</f>
        <v>1730528</v>
      </c>
      <c r="J186" s="5"/>
      <c r="S186" s="23"/>
      <c r="T186" s="23"/>
      <c r="U186" s="23"/>
      <c r="V186" s="23"/>
      <c r="W186" s="23"/>
      <c r="X186" s="23"/>
      <c r="Y186" s="23"/>
      <c r="Z186" s="23"/>
      <c r="AA186" s="23"/>
      <c r="AB186" s="19"/>
    </row>
    <row r="187" spans="1:28" ht="12" hidden="1" customHeight="1">
      <c r="A187" s="1"/>
      <c r="B187" s="16"/>
      <c r="C187" s="69">
        <v>2111</v>
      </c>
      <c r="D187" s="53" t="s">
        <v>15</v>
      </c>
      <c r="E187" s="84">
        <v>1032600</v>
      </c>
      <c r="F187" s="71"/>
      <c r="G187" s="84">
        <v>744085.35</v>
      </c>
      <c r="H187" s="71">
        <f t="shared" si="9"/>
        <v>992113.79999999993</v>
      </c>
      <c r="I187" s="55">
        <v>1128013</v>
      </c>
      <c r="J187" s="5">
        <f>E187/12</f>
        <v>86050</v>
      </c>
      <c r="K187" s="6">
        <f>J187*1.031</f>
        <v>88717.549999999988</v>
      </c>
      <c r="L187" s="6">
        <f>(J187*9)+(K187*3)</f>
        <v>1040602.6499999999</v>
      </c>
      <c r="M187" s="6">
        <f>I187-L187</f>
        <v>87410.350000000093</v>
      </c>
      <c r="N187" s="7">
        <f>L187*1.084</f>
        <v>1128013.2726</v>
      </c>
      <c r="S187" s="23"/>
      <c r="T187" s="23"/>
      <c r="U187" s="23"/>
      <c r="V187" s="23"/>
      <c r="W187" s="23"/>
      <c r="X187" s="23"/>
      <c r="Y187" s="23"/>
      <c r="Z187" s="23"/>
      <c r="AA187" s="23"/>
      <c r="AB187" s="19"/>
    </row>
    <row r="188" spans="1:28" ht="12" hidden="1" customHeight="1">
      <c r="A188" s="1"/>
      <c r="B188" s="16"/>
      <c r="C188" s="69">
        <v>2120</v>
      </c>
      <c r="D188" s="53" t="s">
        <v>17</v>
      </c>
      <c r="E188" s="84">
        <v>223100</v>
      </c>
      <c r="F188" s="71"/>
      <c r="G188" s="84">
        <v>157194.84</v>
      </c>
      <c r="H188" s="71">
        <f t="shared" si="9"/>
        <v>209593.12</v>
      </c>
      <c r="I188" s="55">
        <v>243715</v>
      </c>
      <c r="J188" s="5">
        <f>E188/12</f>
        <v>18591.666666666668</v>
      </c>
      <c r="K188" s="6">
        <f>J188*1.031</f>
        <v>19168.008333333331</v>
      </c>
      <c r="L188" s="6">
        <f>(J188*9)+(K188*3)</f>
        <v>224829.02499999999</v>
      </c>
      <c r="M188" s="6">
        <f>I188-L188</f>
        <v>18885.975000000006</v>
      </c>
      <c r="N188" s="7">
        <f>L188*1.084</f>
        <v>243714.66310000001</v>
      </c>
      <c r="S188" s="23"/>
      <c r="T188" s="23"/>
      <c r="U188" s="23"/>
      <c r="V188" s="23"/>
      <c r="W188" s="23"/>
      <c r="X188" s="23"/>
      <c r="Y188" s="23"/>
      <c r="Z188" s="23"/>
      <c r="AA188" s="23"/>
      <c r="AB188" s="19"/>
    </row>
    <row r="189" spans="1:28" ht="12" hidden="1" customHeight="1">
      <c r="A189" s="1"/>
      <c r="B189" s="16"/>
      <c r="C189" s="69" t="s">
        <v>18</v>
      </c>
      <c r="D189" s="53" t="s">
        <v>19</v>
      </c>
      <c r="E189" s="84">
        <v>35000</v>
      </c>
      <c r="F189" s="71"/>
      <c r="G189" s="84">
        <v>23913.58</v>
      </c>
      <c r="H189" s="71">
        <f t="shared" si="9"/>
        <v>31884.773333333338</v>
      </c>
      <c r="I189" s="55">
        <v>40000</v>
      </c>
      <c r="J189" s="5"/>
      <c r="O189" s="8">
        <v>40000</v>
      </c>
      <c r="S189" s="23"/>
      <c r="T189" s="23"/>
      <c r="U189" s="23"/>
      <c r="V189" s="23"/>
      <c r="W189" s="23"/>
      <c r="X189" s="23"/>
      <c r="Y189" s="23"/>
      <c r="Z189" s="23"/>
      <c r="AA189" s="23"/>
      <c r="AB189" s="19"/>
    </row>
    <row r="190" spans="1:28" ht="12" hidden="1" customHeight="1">
      <c r="A190" s="1"/>
      <c r="B190" s="16"/>
      <c r="C190" s="69" t="s">
        <v>104</v>
      </c>
      <c r="D190" s="53" t="s">
        <v>105</v>
      </c>
      <c r="E190" s="71"/>
      <c r="F190" s="71"/>
      <c r="G190" s="71"/>
      <c r="H190" s="71">
        <f t="shared" si="9"/>
        <v>0</v>
      </c>
      <c r="I190" s="55">
        <v>5000</v>
      </c>
      <c r="J190" s="5"/>
      <c r="S190" s="23"/>
      <c r="T190" s="23"/>
      <c r="U190" s="23"/>
      <c r="V190" s="23"/>
      <c r="W190" s="23"/>
      <c r="X190" s="23"/>
      <c r="Y190" s="23"/>
      <c r="Z190" s="23"/>
      <c r="AA190" s="23"/>
      <c r="AB190" s="19"/>
    </row>
    <row r="191" spans="1:28" ht="12" hidden="1" customHeight="1">
      <c r="A191" s="1"/>
      <c r="B191" s="16"/>
      <c r="C191" s="69" t="s">
        <v>106</v>
      </c>
      <c r="D191" s="53" t="s">
        <v>107</v>
      </c>
      <c r="E191" s="84">
        <v>78600</v>
      </c>
      <c r="F191" s="71"/>
      <c r="G191" s="84">
        <v>56743.13</v>
      </c>
      <c r="H191" s="71">
        <f t="shared" si="9"/>
        <v>75657.506666666668</v>
      </c>
      <c r="I191" s="55">
        <v>120000</v>
      </c>
      <c r="J191" s="5"/>
      <c r="S191" s="23"/>
      <c r="T191" s="23"/>
      <c r="U191" s="23"/>
      <c r="V191" s="23"/>
      <c r="W191" s="23"/>
      <c r="X191" s="23"/>
      <c r="Y191" s="23"/>
      <c r="Z191" s="23"/>
      <c r="AA191" s="23"/>
      <c r="AB191" s="19"/>
    </row>
    <row r="192" spans="1:28" ht="12" hidden="1" customHeight="1">
      <c r="A192" s="1"/>
      <c r="B192" s="16"/>
      <c r="C192" s="69" t="s">
        <v>20</v>
      </c>
      <c r="D192" s="53" t="s">
        <v>21</v>
      </c>
      <c r="E192" s="84">
        <v>40000</v>
      </c>
      <c r="F192" s="71"/>
      <c r="G192" s="84">
        <v>3128.5</v>
      </c>
      <c r="H192" s="71">
        <f t="shared" si="9"/>
        <v>4171.333333333333</v>
      </c>
      <c r="I192" s="55">
        <v>70000</v>
      </c>
      <c r="J192" s="5"/>
      <c r="O192" s="8">
        <v>80000</v>
      </c>
      <c r="S192" s="23"/>
      <c r="T192" s="23"/>
      <c r="U192" s="23"/>
      <c r="V192" s="23"/>
      <c r="W192" s="23"/>
      <c r="X192" s="23"/>
      <c r="Y192" s="23"/>
      <c r="Z192" s="23"/>
      <c r="AA192" s="23"/>
      <c r="AB192" s="19"/>
    </row>
    <row r="193" spans="1:28" ht="12" hidden="1" customHeight="1">
      <c r="A193" s="1"/>
      <c r="B193" s="16"/>
      <c r="C193" s="69" t="s">
        <v>22</v>
      </c>
      <c r="D193" s="53" t="s">
        <v>108</v>
      </c>
      <c r="E193" s="71"/>
      <c r="F193" s="71"/>
      <c r="G193" s="71"/>
      <c r="H193" s="71">
        <f t="shared" si="9"/>
        <v>0</v>
      </c>
      <c r="I193" s="55">
        <v>0</v>
      </c>
      <c r="J193" s="5"/>
      <c r="S193" s="23"/>
      <c r="T193" s="23"/>
      <c r="U193" s="23"/>
      <c r="V193" s="23"/>
      <c r="W193" s="23"/>
      <c r="X193" s="23"/>
      <c r="Y193" s="23"/>
      <c r="Z193" s="23"/>
      <c r="AA193" s="23"/>
      <c r="AB193" s="19"/>
    </row>
    <row r="194" spans="1:28" ht="12" hidden="1" customHeight="1">
      <c r="A194" s="1"/>
      <c r="B194" s="16"/>
      <c r="C194" s="69" t="s">
        <v>24</v>
      </c>
      <c r="D194" s="53" t="s">
        <v>109</v>
      </c>
      <c r="E194" s="71"/>
      <c r="F194" s="71"/>
      <c r="G194" s="71"/>
      <c r="H194" s="71">
        <f t="shared" si="9"/>
        <v>0</v>
      </c>
      <c r="I194" s="55">
        <v>0</v>
      </c>
      <c r="J194" s="5"/>
      <c r="S194" s="23"/>
      <c r="T194" s="23"/>
      <c r="U194" s="23"/>
      <c r="V194" s="23"/>
      <c r="W194" s="23"/>
      <c r="X194" s="23"/>
      <c r="Y194" s="23"/>
      <c r="Z194" s="23"/>
      <c r="AA194" s="23"/>
      <c r="AB194" s="19"/>
    </row>
    <row r="195" spans="1:28" ht="12" hidden="1" customHeight="1">
      <c r="A195" s="1"/>
      <c r="B195" s="16"/>
      <c r="C195" s="69" t="s">
        <v>26</v>
      </c>
      <c r="D195" s="53" t="s">
        <v>110</v>
      </c>
      <c r="E195" s="71"/>
      <c r="F195" s="71"/>
      <c r="G195" s="71"/>
      <c r="H195" s="71">
        <f t="shared" si="9"/>
        <v>0</v>
      </c>
      <c r="I195" s="55">
        <v>10000</v>
      </c>
      <c r="J195" s="5"/>
      <c r="S195" s="23"/>
      <c r="T195" s="23"/>
      <c r="U195" s="23"/>
      <c r="V195" s="23"/>
      <c r="W195" s="23"/>
      <c r="X195" s="23"/>
      <c r="Y195" s="23"/>
      <c r="Z195" s="23"/>
      <c r="AA195" s="23"/>
      <c r="AB195" s="19"/>
    </row>
    <row r="196" spans="1:28" ht="12" hidden="1" customHeight="1">
      <c r="A196" s="1"/>
      <c r="B196" s="16"/>
      <c r="C196" s="69" t="s">
        <v>28</v>
      </c>
      <c r="D196" s="53" t="s">
        <v>29</v>
      </c>
      <c r="E196" s="84">
        <v>19700</v>
      </c>
      <c r="F196" s="71"/>
      <c r="G196" s="84">
        <v>0</v>
      </c>
      <c r="H196" s="71">
        <f t="shared" si="9"/>
        <v>0</v>
      </c>
      <c r="I196" s="55">
        <v>28400</v>
      </c>
      <c r="J196" s="5"/>
      <c r="S196" s="23"/>
      <c r="T196" s="23"/>
      <c r="U196" s="23"/>
      <c r="V196" s="23"/>
      <c r="W196" s="23"/>
      <c r="X196" s="23"/>
      <c r="Y196" s="23"/>
      <c r="Z196" s="23"/>
      <c r="AA196" s="23"/>
      <c r="AB196" s="19"/>
    </row>
    <row r="197" spans="1:28" ht="12" hidden="1" customHeight="1">
      <c r="A197" s="1"/>
      <c r="B197" s="16"/>
      <c r="C197" s="69" t="s">
        <v>30</v>
      </c>
      <c r="D197" s="53" t="s">
        <v>31</v>
      </c>
      <c r="E197" s="84">
        <v>41300</v>
      </c>
      <c r="F197" s="71"/>
      <c r="G197" s="84">
        <v>0</v>
      </c>
      <c r="H197" s="71">
        <f t="shared" si="9"/>
        <v>0</v>
      </c>
      <c r="I197" s="55">
        <v>70400</v>
      </c>
      <c r="J197" s="5"/>
      <c r="S197" s="23"/>
      <c r="T197" s="23"/>
      <c r="U197" s="23"/>
      <c r="V197" s="23"/>
      <c r="W197" s="23"/>
      <c r="X197" s="23"/>
      <c r="Y197" s="23"/>
      <c r="Z197" s="23"/>
      <c r="AA197" s="23"/>
      <c r="AB197" s="19"/>
    </row>
    <row r="198" spans="1:28" ht="23.25" hidden="1" customHeight="1">
      <c r="A198" s="1"/>
      <c r="B198" s="16"/>
      <c r="C198" s="69" t="s">
        <v>32</v>
      </c>
      <c r="D198" s="53" t="s">
        <v>111</v>
      </c>
      <c r="E198" s="84">
        <v>11000</v>
      </c>
      <c r="F198" s="71"/>
      <c r="G198" s="84">
        <v>1957.25</v>
      </c>
      <c r="H198" s="71">
        <f t="shared" si="9"/>
        <v>2609.666666666667</v>
      </c>
      <c r="I198" s="55">
        <v>15000</v>
      </c>
      <c r="J198" s="5"/>
      <c r="S198" s="23"/>
      <c r="T198" s="23"/>
      <c r="U198" s="23"/>
      <c r="V198" s="23"/>
      <c r="W198" s="23"/>
      <c r="X198" s="23"/>
      <c r="Y198" s="23"/>
      <c r="Z198" s="23"/>
      <c r="AA198" s="23"/>
      <c r="AB198" s="19"/>
    </row>
    <row r="199" spans="1:28" ht="31.5" hidden="1" customHeight="1">
      <c r="A199" s="1"/>
      <c r="B199" s="16"/>
      <c r="C199" s="69" t="s">
        <v>34</v>
      </c>
      <c r="D199" s="53" t="s">
        <v>35</v>
      </c>
      <c r="E199" s="71"/>
      <c r="F199" s="71"/>
      <c r="G199" s="71"/>
      <c r="H199" s="71">
        <f t="shared" si="9"/>
        <v>0</v>
      </c>
      <c r="I199" s="55">
        <v>0</v>
      </c>
      <c r="J199" s="5"/>
      <c r="S199" s="23"/>
      <c r="T199" s="23"/>
      <c r="U199" s="23"/>
      <c r="V199" s="23"/>
      <c r="W199" s="23"/>
      <c r="X199" s="23"/>
      <c r="Y199" s="23"/>
      <c r="Z199" s="23"/>
      <c r="AA199" s="23"/>
      <c r="AB199" s="19"/>
    </row>
    <row r="200" spans="1:28" ht="16.5" hidden="1" customHeight="1">
      <c r="A200" s="1"/>
      <c r="B200" s="16"/>
      <c r="C200" s="65">
        <v>611010</v>
      </c>
      <c r="D200" s="66" t="s">
        <v>120</v>
      </c>
      <c r="E200" s="67">
        <f>SUM(E201:E213)</f>
        <v>7068140</v>
      </c>
      <c r="F200" s="71"/>
      <c r="G200" s="67">
        <f>SUM(G201:G213)</f>
        <v>4849829.34</v>
      </c>
      <c r="H200" s="67">
        <f>SUM(H201:H213)</f>
        <v>6466439.1200000001</v>
      </c>
      <c r="I200" s="68">
        <f>I201+I202+I203+I204+I205+I206+I207+I208+I209+I210+I211+I212+I213</f>
        <v>7542121.8531467691</v>
      </c>
      <c r="J200" s="5"/>
      <c r="S200" s="23"/>
      <c r="T200" s="23"/>
      <c r="U200" s="23"/>
      <c r="V200" s="23"/>
      <c r="W200" s="23"/>
      <c r="X200" s="23"/>
      <c r="Y200" s="23"/>
      <c r="Z200" s="23"/>
      <c r="AA200" s="23"/>
      <c r="AB200" s="19"/>
    </row>
    <row r="201" spans="1:28" ht="12" hidden="1" customHeight="1">
      <c r="A201" s="1"/>
      <c r="B201" s="16"/>
      <c r="C201" s="69">
        <v>2111</v>
      </c>
      <c r="D201" s="53" t="s">
        <v>15</v>
      </c>
      <c r="E201" s="84">
        <f>4325630+210000</f>
        <v>4535630</v>
      </c>
      <c r="F201" s="71"/>
      <c r="G201" s="84">
        <v>3237395.61</v>
      </c>
      <c r="H201" s="71">
        <f t="shared" si="9"/>
        <v>4316527.4799999995</v>
      </c>
      <c r="I201" s="55">
        <f>4954727-R201</f>
        <v>4078121.4984962307</v>
      </c>
      <c r="J201" s="5">
        <f>E201/12</f>
        <v>377969.16666666669</v>
      </c>
      <c r="K201" s="6">
        <f>J201*1.031</f>
        <v>389686.21083333332</v>
      </c>
      <c r="L201" s="6">
        <f>(J201*9)+(K201*3)</f>
        <v>4570781.1325000003</v>
      </c>
      <c r="M201" s="6">
        <f>I201-L201</f>
        <v>-492659.63400376961</v>
      </c>
      <c r="N201" s="7">
        <f>L201*1.084</f>
        <v>4954726.747630001</v>
      </c>
      <c r="Q201" s="8">
        <f>N201/13*2.3</f>
        <v>876605.50150376942</v>
      </c>
      <c r="R201" s="7">
        <v>876605.50150376942</v>
      </c>
      <c r="S201" s="23"/>
      <c r="T201" s="23"/>
      <c r="U201" s="23"/>
      <c r="V201" s="23"/>
      <c r="W201" s="23"/>
      <c r="X201" s="23"/>
      <c r="Y201" s="23"/>
      <c r="Z201" s="23"/>
      <c r="AA201" s="23"/>
      <c r="AB201" s="19"/>
    </row>
    <row r="202" spans="1:28" ht="12" hidden="1" customHeight="1">
      <c r="A202" s="1"/>
      <c r="B202" s="16"/>
      <c r="C202" s="69">
        <v>2120</v>
      </c>
      <c r="D202" s="53" t="s">
        <v>17</v>
      </c>
      <c r="E202" s="84">
        <f>952210+46200</f>
        <v>998410</v>
      </c>
      <c r="F202" s="71"/>
      <c r="G202" s="84">
        <v>694579.61</v>
      </c>
      <c r="H202" s="71">
        <f t="shared" si="9"/>
        <v>926106.14666666673</v>
      </c>
      <c r="I202" s="55">
        <f>1090664-R202</f>
        <v>897700.35465053841</v>
      </c>
      <c r="J202" s="5">
        <f>E202/12</f>
        <v>83200.833333333328</v>
      </c>
      <c r="K202" s="6">
        <f>J202*1.031</f>
        <v>85780.059166666659</v>
      </c>
      <c r="L202" s="6">
        <f>(J202*9)+(K202*3)</f>
        <v>1006147.6775</v>
      </c>
      <c r="M202" s="6">
        <f>I202-L202</f>
        <v>-108447.32284946158</v>
      </c>
      <c r="N202" s="7">
        <f>L202*1.084</f>
        <v>1090664.08241</v>
      </c>
      <c r="Q202" s="8">
        <f>N202/13*2.3</f>
        <v>192963.64534946153</v>
      </c>
      <c r="R202" s="7">
        <v>192963.64534946153</v>
      </c>
      <c r="S202" s="23"/>
      <c r="T202" s="23"/>
      <c r="U202" s="23"/>
      <c r="V202" s="23"/>
      <c r="W202" s="23"/>
      <c r="X202" s="23"/>
      <c r="Y202" s="23"/>
      <c r="Z202" s="23"/>
      <c r="AA202" s="23"/>
      <c r="AB202" s="19"/>
    </row>
    <row r="203" spans="1:28" ht="12" hidden="1" customHeight="1">
      <c r="A203" s="1"/>
      <c r="B203" s="16"/>
      <c r="C203" s="69" t="s">
        <v>18</v>
      </c>
      <c r="D203" s="53" t="s">
        <v>19</v>
      </c>
      <c r="E203" s="84">
        <v>102000</v>
      </c>
      <c r="F203" s="71"/>
      <c r="G203" s="84">
        <v>53403.839999999997</v>
      </c>
      <c r="H203" s="71">
        <f t="shared" si="9"/>
        <v>71205.119999999995</v>
      </c>
      <c r="I203" s="55">
        <v>100000</v>
      </c>
      <c r="J203" s="5"/>
      <c r="O203" s="8">
        <v>112200</v>
      </c>
      <c r="S203" s="23"/>
      <c r="T203" s="23"/>
      <c r="U203" s="23"/>
      <c r="V203" s="23"/>
      <c r="W203" s="23"/>
      <c r="X203" s="23"/>
      <c r="Y203" s="23"/>
      <c r="Z203" s="23"/>
      <c r="AA203" s="23"/>
      <c r="AB203" s="19"/>
    </row>
    <row r="204" spans="1:28" ht="12" hidden="1" customHeight="1">
      <c r="A204" s="1"/>
      <c r="B204" s="16"/>
      <c r="C204" s="69" t="s">
        <v>104</v>
      </c>
      <c r="D204" s="53" t="s">
        <v>105</v>
      </c>
      <c r="E204" s="84">
        <v>3300</v>
      </c>
      <c r="F204" s="71"/>
      <c r="G204" s="84">
        <v>0</v>
      </c>
      <c r="H204" s="71">
        <f t="shared" si="9"/>
        <v>0</v>
      </c>
      <c r="I204" s="55">
        <v>5000</v>
      </c>
      <c r="J204" s="5"/>
      <c r="S204" s="23"/>
      <c r="T204" s="23"/>
      <c r="U204" s="23"/>
      <c r="V204" s="23"/>
      <c r="W204" s="23"/>
      <c r="X204" s="23"/>
      <c r="Y204" s="23"/>
      <c r="Z204" s="23"/>
      <c r="AA204" s="23"/>
      <c r="AB204" s="19"/>
    </row>
    <row r="205" spans="1:28" ht="12" hidden="1" customHeight="1">
      <c r="A205" s="1"/>
      <c r="B205" s="16"/>
      <c r="C205" s="69" t="s">
        <v>106</v>
      </c>
      <c r="D205" s="53" t="s">
        <v>107</v>
      </c>
      <c r="E205" s="84">
        <v>495000</v>
      </c>
      <c r="F205" s="71"/>
      <c r="G205" s="84">
        <v>305672.74</v>
      </c>
      <c r="H205" s="71">
        <f t="shared" si="9"/>
        <v>407563.65333333332</v>
      </c>
      <c r="I205" s="55">
        <v>950000</v>
      </c>
      <c r="J205" s="5"/>
      <c r="S205" s="23"/>
      <c r="T205" s="23"/>
      <c r="U205" s="23"/>
      <c r="V205" s="23"/>
      <c r="W205" s="23"/>
      <c r="X205" s="23"/>
      <c r="Y205" s="23"/>
      <c r="Z205" s="23"/>
      <c r="AA205" s="23"/>
      <c r="AB205" s="19"/>
    </row>
    <row r="206" spans="1:28" ht="12" hidden="1" customHeight="1">
      <c r="A206" s="1"/>
      <c r="B206" s="16"/>
      <c r="C206" s="69" t="s">
        <v>20</v>
      </c>
      <c r="D206" s="53" t="s">
        <v>21</v>
      </c>
      <c r="E206" s="84">
        <v>250000</v>
      </c>
      <c r="F206" s="71"/>
      <c r="G206" s="84">
        <v>177730.65</v>
      </c>
      <c r="H206" s="71">
        <f t="shared" si="9"/>
        <v>236974.19999999998</v>
      </c>
      <c r="I206" s="55">
        <v>250000</v>
      </c>
      <c r="J206" s="5"/>
      <c r="O206" s="8">
        <v>280000</v>
      </c>
      <c r="S206" s="23"/>
      <c r="T206" s="23"/>
      <c r="U206" s="23"/>
      <c r="V206" s="23"/>
      <c r="W206" s="23"/>
      <c r="X206" s="23"/>
      <c r="Y206" s="23"/>
      <c r="Z206" s="23"/>
      <c r="AA206" s="23"/>
      <c r="AB206" s="19"/>
    </row>
    <row r="207" spans="1:28" ht="12" hidden="1" customHeight="1">
      <c r="A207" s="1"/>
      <c r="B207" s="16"/>
      <c r="C207" s="69" t="s">
        <v>22</v>
      </c>
      <c r="D207" s="53" t="s">
        <v>108</v>
      </c>
      <c r="E207" s="84">
        <v>3300</v>
      </c>
      <c r="F207" s="71"/>
      <c r="G207" s="84">
        <v>534.96</v>
      </c>
      <c r="H207" s="71">
        <f t="shared" si="9"/>
        <v>713.28000000000009</v>
      </c>
      <c r="I207" s="55">
        <v>6000</v>
      </c>
      <c r="J207" s="5"/>
      <c r="S207" s="23"/>
      <c r="T207" s="23"/>
      <c r="U207" s="23"/>
      <c r="V207" s="23"/>
      <c r="W207" s="23"/>
      <c r="X207" s="23"/>
      <c r="Y207" s="23"/>
      <c r="Z207" s="23"/>
      <c r="AA207" s="23"/>
      <c r="AB207" s="19"/>
    </row>
    <row r="208" spans="1:28" ht="12" hidden="1" customHeight="1">
      <c r="A208" s="1"/>
      <c r="B208" s="16"/>
      <c r="C208" s="69" t="s">
        <v>24</v>
      </c>
      <c r="D208" s="53" t="s">
        <v>109</v>
      </c>
      <c r="E208" s="71"/>
      <c r="F208" s="71"/>
      <c r="G208" s="71"/>
      <c r="H208" s="71">
        <f t="shared" si="9"/>
        <v>0</v>
      </c>
      <c r="I208" s="55">
        <v>0</v>
      </c>
      <c r="J208" s="5"/>
      <c r="S208" s="23"/>
      <c r="T208" s="23"/>
      <c r="U208" s="23"/>
      <c r="V208" s="23"/>
      <c r="W208" s="23"/>
      <c r="X208" s="23"/>
      <c r="Y208" s="23"/>
      <c r="Z208" s="23"/>
      <c r="AA208" s="23"/>
      <c r="AB208" s="19"/>
    </row>
    <row r="209" spans="1:28" ht="12" hidden="1" customHeight="1">
      <c r="A209" s="1"/>
      <c r="B209" s="16"/>
      <c r="C209" s="69" t="s">
        <v>26</v>
      </c>
      <c r="D209" s="53" t="s">
        <v>110</v>
      </c>
      <c r="E209" s="84">
        <v>38500</v>
      </c>
      <c r="F209" s="71"/>
      <c r="G209" s="84">
        <v>14859.94</v>
      </c>
      <c r="H209" s="71">
        <f t="shared" si="9"/>
        <v>19813.253333333334</v>
      </c>
      <c r="I209" s="55">
        <v>45000</v>
      </c>
      <c r="J209" s="5"/>
      <c r="S209" s="23"/>
      <c r="T209" s="23"/>
      <c r="U209" s="23"/>
      <c r="V209" s="23"/>
      <c r="W209" s="23"/>
      <c r="X209" s="23"/>
      <c r="Y209" s="23"/>
      <c r="Z209" s="23"/>
      <c r="AA209" s="23"/>
      <c r="AB209" s="19"/>
    </row>
    <row r="210" spans="1:28" ht="12" hidden="1" customHeight="1">
      <c r="A210" s="1"/>
      <c r="B210" s="16"/>
      <c r="C210" s="69" t="s">
        <v>28</v>
      </c>
      <c r="D210" s="53" t="s">
        <v>29</v>
      </c>
      <c r="E210" s="84">
        <v>87500</v>
      </c>
      <c r="F210" s="71"/>
      <c r="G210" s="84">
        <v>65897.39</v>
      </c>
      <c r="H210" s="71">
        <f t="shared" si="9"/>
        <v>87863.186666666661</v>
      </c>
      <c r="I210" s="55">
        <v>150000</v>
      </c>
      <c r="J210" s="5"/>
      <c r="S210" s="23"/>
      <c r="T210" s="23"/>
      <c r="U210" s="23"/>
      <c r="V210" s="23"/>
      <c r="W210" s="23"/>
      <c r="X210" s="23"/>
      <c r="Y210" s="23"/>
      <c r="Z210" s="23"/>
      <c r="AA210" s="23"/>
      <c r="AB210" s="19"/>
    </row>
    <row r="211" spans="1:28" ht="12" hidden="1" customHeight="1">
      <c r="A211" s="1"/>
      <c r="B211" s="16"/>
      <c r="C211" s="69" t="s">
        <v>30</v>
      </c>
      <c r="D211" s="53" t="s">
        <v>31</v>
      </c>
      <c r="E211" s="84">
        <v>483000</v>
      </c>
      <c r="F211" s="71"/>
      <c r="G211" s="84">
        <v>275000</v>
      </c>
      <c r="H211" s="71">
        <f t="shared" si="9"/>
        <v>366666.66666666663</v>
      </c>
      <c r="I211" s="55">
        <v>981200</v>
      </c>
      <c r="J211" s="5"/>
      <c r="S211" s="23"/>
      <c r="T211" s="23"/>
      <c r="U211" s="23"/>
      <c r="V211" s="23"/>
      <c r="W211" s="23"/>
      <c r="X211" s="23"/>
      <c r="Y211" s="23"/>
      <c r="Z211" s="23"/>
      <c r="AA211" s="23"/>
      <c r="AB211" s="19"/>
    </row>
    <row r="212" spans="1:28" ht="19.5" hidden="1" customHeight="1">
      <c r="A212" s="1"/>
      <c r="B212" s="16"/>
      <c r="C212" s="69" t="s">
        <v>32</v>
      </c>
      <c r="D212" s="53" t="s">
        <v>111</v>
      </c>
      <c r="E212" s="84">
        <v>66000</v>
      </c>
      <c r="F212" s="71"/>
      <c r="G212" s="84">
        <v>23054.6</v>
      </c>
      <c r="H212" s="71">
        <f t="shared" si="9"/>
        <v>30739.466666666667</v>
      </c>
      <c r="I212" s="55">
        <v>73100</v>
      </c>
      <c r="J212" s="5"/>
      <c r="S212" s="23"/>
      <c r="T212" s="23"/>
      <c r="U212" s="23"/>
      <c r="V212" s="23"/>
      <c r="W212" s="23"/>
      <c r="X212" s="23"/>
      <c r="Y212" s="23"/>
      <c r="Z212" s="23"/>
      <c r="AA212" s="23"/>
      <c r="AB212" s="19"/>
    </row>
    <row r="213" spans="1:28" ht="31.5" hidden="1" customHeight="1">
      <c r="A213" s="1"/>
      <c r="B213" s="16"/>
      <c r="C213" s="69" t="s">
        <v>34</v>
      </c>
      <c r="D213" s="53" t="s">
        <v>35</v>
      </c>
      <c r="E213" s="84">
        <v>5500</v>
      </c>
      <c r="F213" s="71"/>
      <c r="G213" s="84">
        <v>1700</v>
      </c>
      <c r="H213" s="71">
        <f t="shared" si="9"/>
        <v>2266.6666666666665</v>
      </c>
      <c r="I213" s="55">
        <v>6000</v>
      </c>
      <c r="J213" s="5"/>
      <c r="S213" s="23"/>
      <c r="T213" s="23"/>
      <c r="U213" s="23"/>
      <c r="V213" s="23"/>
      <c r="W213" s="23"/>
      <c r="X213" s="23"/>
      <c r="Y213" s="23"/>
      <c r="Z213" s="23"/>
      <c r="AA213" s="23"/>
      <c r="AB213" s="19"/>
    </row>
    <row r="214" spans="1:28" ht="12" hidden="1" customHeight="1">
      <c r="A214" s="1"/>
      <c r="B214" s="16"/>
      <c r="C214" s="65">
        <v>611010</v>
      </c>
      <c r="D214" s="66" t="s">
        <v>121</v>
      </c>
      <c r="E214" s="67">
        <f>SUM(E215:E227)</f>
        <v>12959850</v>
      </c>
      <c r="F214" s="71"/>
      <c r="G214" s="67">
        <f>SUM(G215:G227)</f>
        <v>6781519.8899999987</v>
      </c>
      <c r="H214" s="67">
        <f>SUM(H215:H227)</f>
        <v>9042026.5199999977</v>
      </c>
      <c r="I214" s="68">
        <f>I215+I216+I217+I218+I219+I220+I221+I222+I223+I224+I225+I226+I227</f>
        <v>12631040.516520385</v>
      </c>
      <c r="J214" s="5"/>
      <c r="S214" s="23"/>
      <c r="T214" s="23"/>
      <c r="U214" s="23"/>
      <c r="V214" s="23"/>
      <c r="W214" s="23"/>
      <c r="X214" s="23"/>
      <c r="Y214" s="23"/>
      <c r="Z214" s="23"/>
      <c r="AA214" s="23"/>
      <c r="AB214" s="19"/>
    </row>
    <row r="215" spans="1:28" ht="12" hidden="1" customHeight="1">
      <c r="A215" s="1"/>
      <c r="B215" s="16"/>
      <c r="C215" s="69">
        <v>2111</v>
      </c>
      <c r="D215" s="53" t="s">
        <v>15</v>
      </c>
      <c r="E215" s="84">
        <v>8257540</v>
      </c>
      <c r="F215" s="71"/>
      <c r="G215" s="84">
        <v>4638454.83</v>
      </c>
      <c r="H215" s="71">
        <f t="shared" si="9"/>
        <v>6184606.4399999995</v>
      </c>
      <c r="I215" s="55">
        <f>9020545-R215</f>
        <v>7424602.4312967695</v>
      </c>
      <c r="J215" s="5">
        <f>E215/12</f>
        <v>688128.33333333337</v>
      </c>
      <c r="K215" s="6">
        <f>J215*1.031</f>
        <v>709460.31166666665</v>
      </c>
      <c r="L215" s="6">
        <f>(J215*9)+(K215*3)</f>
        <v>8321535.9350000005</v>
      </c>
      <c r="M215" s="6">
        <f>I215-L215</f>
        <v>-896933.50370323099</v>
      </c>
      <c r="N215" s="7">
        <f>L215*1.084</f>
        <v>9020544.9535400011</v>
      </c>
      <c r="Q215" s="8">
        <f>N215/13*2.3</f>
        <v>1595942.5687032307</v>
      </c>
      <c r="R215" s="7">
        <v>1595942.5687032307</v>
      </c>
      <c r="S215" s="23"/>
      <c r="T215" s="23"/>
      <c r="U215" s="23"/>
      <c r="V215" s="23"/>
      <c r="W215" s="23"/>
      <c r="X215" s="23"/>
      <c r="Y215" s="23"/>
      <c r="Z215" s="23"/>
      <c r="AA215" s="23"/>
      <c r="AB215" s="19"/>
    </row>
    <row r="216" spans="1:28" ht="12" hidden="1" customHeight="1">
      <c r="A216" s="1"/>
      <c r="B216" s="16"/>
      <c r="C216" s="69">
        <v>2120</v>
      </c>
      <c r="D216" s="53" t="s">
        <v>17</v>
      </c>
      <c r="E216" s="84">
        <v>1816910</v>
      </c>
      <c r="F216" s="71"/>
      <c r="G216" s="84">
        <v>1035910</v>
      </c>
      <c r="H216" s="71">
        <f t="shared" si="9"/>
        <v>1381213.3333333333</v>
      </c>
      <c r="I216" s="55">
        <f>1984794-R216</f>
        <v>1633638.0852236154</v>
      </c>
      <c r="J216" s="5">
        <f>E216/12</f>
        <v>151409.16666666666</v>
      </c>
      <c r="K216" s="6">
        <f>J216*1.031</f>
        <v>156102.8508333333</v>
      </c>
      <c r="L216" s="6">
        <f>(J216*9)+(K216*3)</f>
        <v>1830991.0524999998</v>
      </c>
      <c r="M216" s="6">
        <f>I216-L216</f>
        <v>-197352.96727638436</v>
      </c>
      <c r="N216" s="7">
        <f>L216*1.084</f>
        <v>1984794.3009099998</v>
      </c>
      <c r="Q216" s="8">
        <f>N216/13*2.3</f>
        <v>351155.9147763846</v>
      </c>
      <c r="R216" s="7">
        <v>351155.9147763846</v>
      </c>
      <c r="S216" s="23"/>
      <c r="T216" s="23"/>
      <c r="U216" s="23"/>
      <c r="V216" s="23"/>
      <c r="W216" s="23"/>
      <c r="X216" s="23"/>
      <c r="Y216" s="23"/>
      <c r="Z216" s="23"/>
      <c r="AA216" s="23"/>
      <c r="AB216" s="19"/>
    </row>
    <row r="217" spans="1:28" ht="12" hidden="1" customHeight="1">
      <c r="A217" s="1"/>
      <c r="B217" s="16"/>
      <c r="C217" s="69" t="s">
        <v>18</v>
      </c>
      <c r="D217" s="53" t="s">
        <v>19</v>
      </c>
      <c r="E217" s="84">
        <v>135600</v>
      </c>
      <c r="F217" s="71"/>
      <c r="G217" s="84">
        <v>34176.199999999997</v>
      </c>
      <c r="H217" s="71">
        <f t="shared" si="9"/>
        <v>45568.266666666663</v>
      </c>
      <c r="I217" s="55">
        <v>130000</v>
      </c>
      <c r="J217" s="5"/>
      <c r="O217" s="8">
        <v>150000</v>
      </c>
      <c r="S217" s="23"/>
      <c r="T217" s="23"/>
      <c r="U217" s="23"/>
      <c r="V217" s="23"/>
      <c r="W217" s="23"/>
      <c r="X217" s="23"/>
      <c r="Y217" s="23"/>
      <c r="Z217" s="23"/>
      <c r="AA217" s="23"/>
      <c r="AB217" s="19"/>
    </row>
    <row r="218" spans="1:28" ht="12" hidden="1" customHeight="1">
      <c r="A218" s="1"/>
      <c r="B218" s="16"/>
      <c r="C218" s="69" t="s">
        <v>104</v>
      </c>
      <c r="D218" s="53" t="s">
        <v>105</v>
      </c>
      <c r="E218" s="84">
        <v>50000</v>
      </c>
      <c r="F218" s="71"/>
      <c r="G218" s="84">
        <v>19993.46</v>
      </c>
      <c r="H218" s="71">
        <f t="shared" si="9"/>
        <v>26657.946666666663</v>
      </c>
      <c r="I218" s="55">
        <v>40000</v>
      </c>
      <c r="J218" s="5"/>
      <c r="S218" s="23"/>
      <c r="T218" s="23"/>
      <c r="U218" s="23"/>
      <c r="V218" s="23"/>
      <c r="W218" s="23"/>
      <c r="X218" s="23"/>
      <c r="Y218" s="23"/>
      <c r="Z218" s="23"/>
      <c r="AA218" s="23"/>
      <c r="AB218" s="19"/>
    </row>
    <row r="219" spans="1:28" ht="12" hidden="1" customHeight="1">
      <c r="A219" s="1"/>
      <c r="B219" s="16"/>
      <c r="C219" s="69" t="s">
        <v>106</v>
      </c>
      <c r="D219" s="53" t="s">
        <v>107</v>
      </c>
      <c r="E219" s="84">
        <v>1300000</v>
      </c>
      <c r="F219" s="71"/>
      <c r="G219" s="84">
        <v>417725.59</v>
      </c>
      <c r="H219" s="71">
        <f t="shared" si="9"/>
        <v>556967.45333333337</v>
      </c>
      <c r="I219" s="55">
        <v>1800000</v>
      </c>
      <c r="J219" s="5"/>
      <c r="S219" s="23"/>
      <c r="T219" s="23"/>
      <c r="U219" s="23"/>
      <c r="V219" s="23"/>
      <c r="W219" s="23"/>
      <c r="X219" s="23"/>
      <c r="Y219" s="23"/>
      <c r="Z219" s="23"/>
      <c r="AA219" s="23"/>
      <c r="AB219" s="19"/>
    </row>
    <row r="220" spans="1:28" ht="12" hidden="1" customHeight="1">
      <c r="A220" s="1"/>
      <c r="B220" s="16"/>
      <c r="C220" s="69" t="s">
        <v>20</v>
      </c>
      <c r="D220" s="53" t="s">
        <v>21</v>
      </c>
      <c r="E220" s="84">
        <v>300000</v>
      </c>
      <c r="F220" s="71"/>
      <c r="G220" s="84">
        <v>141376.35</v>
      </c>
      <c r="H220" s="71">
        <f t="shared" si="9"/>
        <v>188501.8</v>
      </c>
      <c r="I220" s="55">
        <v>200000</v>
      </c>
      <c r="J220" s="5"/>
      <c r="O220" s="8">
        <v>300000</v>
      </c>
      <c r="S220" s="23"/>
      <c r="T220" s="23"/>
      <c r="U220" s="23"/>
      <c r="V220" s="23"/>
      <c r="W220" s="23"/>
      <c r="X220" s="23"/>
      <c r="Y220" s="23"/>
      <c r="Z220" s="23"/>
      <c r="AA220" s="23"/>
      <c r="AB220" s="19"/>
    </row>
    <row r="221" spans="1:28" ht="12" hidden="1" customHeight="1">
      <c r="A221" s="1"/>
      <c r="B221" s="16"/>
      <c r="C221" s="69" t="s">
        <v>22</v>
      </c>
      <c r="D221" s="53" t="s">
        <v>108</v>
      </c>
      <c r="E221" s="84">
        <v>5000</v>
      </c>
      <c r="F221" s="71"/>
      <c r="G221" s="84">
        <v>0</v>
      </c>
      <c r="H221" s="71">
        <f t="shared" si="9"/>
        <v>0</v>
      </c>
      <c r="I221" s="55">
        <v>6000</v>
      </c>
      <c r="J221" s="5"/>
      <c r="S221" s="23"/>
      <c r="T221" s="23"/>
      <c r="U221" s="23"/>
      <c r="V221" s="23"/>
      <c r="W221" s="23"/>
      <c r="X221" s="23"/>
      <c r="Y221" s="23"/>
      <c r="Z221" s="23"/>
      <c r="AA221" s="23"/>
      <c r="AB221" s="19"/>
    </row>
    <row r="222" spans="1:28" ht="12" hidden="1" customHeight="1">
      <c r="A222" s="1"/>
      <c r="B222" s="16"/>
      <c r="C222" s="69" t="s">
        <v>24</v>
      </c>
      <c r="D222" s="53" t="s">
        <v>109</v>
      </c>
      <c r="E222" s="84">
        <v>800000</v>
      </c>
      <c r="F222" s="71"/>
      <c r="G222" s="84">
        <v>409353.27</v>
      </c>
      <c r="H222" s="71">
        <f t="shared" si="9"/>
        <v>545804.3600000001</v>
      </c>
      <c r="I222" s="55">
        <v>1100000</v>
      </c>
      <c r="J222" s="5"/>
      <c r="S222" s="23"/>
      <c r="T222" s="23"/>
      <c r="U222" s="23"/>
      <c r="V222" s="23"/>
      <c r="W222" s="23"/>
      <c r="X222" s="23"/>
      <c r="Y222" s="23"/>
      <c r="Z222" s="23"/>
      <c r="AA222" s="23"/>
      <c r="AB222" s="19"/>
    </row>
    <row r="223" spans="1:28" ht="12" hidden="1" customHeight="1">
      <c r="A223" s="1"/>
      <c r="B223" s="16"/>
      <c r="C223" s="69" t="s">
        <v>26</v>
      </c>
      <c r="D223" s="53" t="s">
        <v>110</v>
      </c>
      <c r="E223" s="84">
        <v>73000</v>
      </c>
      <c r="F223" s="71"/>
      <c r="G223" s="84">
        <v>20795.64</v>
      </c>
      <c r="H223" s="71">
        <f t="shared" si="9"/>
        <v>27727.519999999997</v>
      </c>
      <c r="I223" s="55">
        <v>74000</v>
      </c>
      <c r="J223" s="5"/>
      <c r="S223" s="23"/>
      <c r="T223" s="23"/>
      <c r="U223" s="23"/>
      <c r="V223" s="23"/>
      <c r="W223" s="23"/>
      <c r="X223" s="23"/>
      <c r="Y223" s="23"/>
      <c r="Z223" s="23"/>
      <c r="AA223" s="23"/>
      <c r="AB223" s="19"/>
    </row>
    <row r="224" spans="1:28" ht="12" hidden="1" customHeight="1">
      <c r="A224" s="1"/>
      <c r="B224" s="16"/>
      <c r="C224" s="69" t="s">
        <v>28</v>
      </c>
      <c r="D224" s="53" t="s">
        <v>29</v>
      </c>
      <c r="E224" s="84">
        <v>199800</v>
      </c>
      <c r="F224" s="71"/>
      <c r="G224" s="84">
        <v>56979.05</v>
      </c>
      <c r="H224" s="71">
        <f t="shared" si="9"/>
        <v>75972.066666666666</v>
      </c>
      <c r="I224" s="55">
        <v>199800</v>
      </c>
      <c r="J224" s="5"/>
      <c r="S224" s="23"/>
      <c r="T224" s="23"/>
      <c r="U224" s="23"/>
      <c r="V224" s="23"/>
      <c r="W224" s="23"/>
      <c r="X224" s="23"/>
      <c r="Y224" s="23"/>
      <c r="Z224" s="23"/>
      <c r="AA224" s="23"/>
      <c r="AB224" s="19"/>
    </row>
    <row r="225" spans="1:28" ht="12" hidden="1" customHeight="1">
      <c r="A225" s="1"/>
      <c r="B225" s="16"/>
      <c r="C225" s="69" t="s">
        <v>30</v>
      </c>
      <c r="D225" s="53" t="s">
        <v>31</v>
      </c>
      <c r="E225" s="86"/>
      <c r="F225" s="71"/>
      <c r="G225" s="71"/>
      <c r="H225" s="71">
        <f t="shared" si="9"/>
        <v>0</v>
      </c>
      <c r="I225" s="55">
        <v>0</v>
      </c>
      <c r="J225" s="5"/>
      <c r="S225" s="23"/>
      <c r="T225" s="23"/>
      <c r="U225" s="23"/>
      <c r="V225" s="23"/>
      <c r="W225" s="23"/>
      <c r="X225" s="23"/>
      <c r="Y225" s="23"/>
      <c r="Z225" s="23"/>
      <c r="AA225" s="23"/>
      <c r="AB225" s="19"/>
    </row>
    <row r="226" spans="1:28" ht="18.75" hidden="1" customHeight="1">
      <c r="A226" s="1"/>
      <c r="B226" s="16"/>
      <c r="C226" s="69" t="s">
        <v>32</v>
      </c>
      <c r="D226" s="53" t="s">
        <v>111</v>
      </c>
      <c r="E226" s="84">
        <v>17000</v>
      </c>
      <c r="F226" s="71"/>
      <c r="G226" s="84">
        <v>6755.5</v>
      </c>
      <c r="H226" s="71">
        <f t="shared" si="9"/>
        <v>9007.3333333333321</v>
      </c>
      <c r="I226" s="55">
        <v>18000</v>
      </c>
      <c r="J226" s="5"/>
      <c r="S226" s="23"/>
      <c r="T226" s="23"/>
      <c r="U226" s="23"/>
      <c r="V226" s="23"/>
      <c r="W226" s="23"/>
      <c r="X226" s="23"/>
      <c r="Y226" s="23"/>
      <c r="Z226" s="23"/>
      <c r="AA226" s="23"/>
      <c r="AB226" s="19"/>
    </row>
    <row r="227" spans="1:28" ht="28.5" hidden="1" customHeight="1">
      <c r="A227" s="1"/>
      <c r="B227" s="16"/>
      <c r="C227" s="69" t="s">
        <v>34</v>
      </c>
      <c r="D227" s="53" t="s">
        <v>35</v>
      </c>
      <c r="E227" s="84">
        <v>5000</v>
      </c>
      <c r="F227" s="71"/>
      <c r="G227" s="84">
        <v>0</v>
      </c>
      <c r="H227" s="71">
        <f t="shared" si="9"/>
        <v>0</v>
      </c>
      <c r="I227" s="55">
        <v>5000</v>
      </c>
      <c r="J227" s="5"/>
      <c r="S227" s="23"/>
      <c r="T227" s="23"/>
      <c r="U227" s="23"/>
      <c r="V227" s="23"/>
      <c r="W227" s="23"/>
      <c r="X227" s="23"/>
      <c r="Y227" s="23"/>
      <c r="Z227" s="23"/>
      <c r="AA227" s="23"/>
      <c r="AB227" s="19"/>
    </row>
    <row r="228" spans="1:28" ht="24" hidden="1" customHeight="1">
      <c r="A228" s="1"/>
      <c r="B228" s="16"/>
      <c r="C228" s="65">
        <v>611010</v>
      </c>
      <c r="D228" s="66" t="s">
        <v>122</v>
      </c>
      <c r="E228" s="67">
        <f>SUM(E229:E242)</f>
        <v>8055190</v>
      </c>
      <c r="F228" s="71"/>
      <c r="G228" s="67">
        <f>SUM(G229:G242)</f>
        <v>5347742.1900000004</v>
      </c>
      <c r="H228" s="67">
        <f>SUM(H229:H242)</f>
        <v>7130322.9199999981</v>
      </c>
      <c r="I228" s="68">
        <f>I229+I230+I231+I232+I233+I234+I235+I236+I237+I238+I239+I240+I241+I242+I243</f>
        <v>8106863.5174639225</v>
      </c>
      <c r="J228" s="5"/>
      <c r="S228" s="23"/>
      <c r="T228" s="23"/>
      <c r="U228" s="23"/>
      <c r="V228" s="23"/>
      <c r="W228" s="23"/>
      <c r="X228" s="23"/>
      <c r="Y228" s="23"/>
      <c r="Z228" s="23"/>
      <c r="AA228" s="23"/>
      <c r="AB228" s="19"/>
    </row>
    <row r="229" spans="1:28" ht="12" hidden="1" customHeight="1">
      <c r="A229" s="1"/>
      <c r="B229" s="16"/>
      <c r="C229" s="69">
        <v>2111</v>
      </c>
      <c r="D229" s="53" t="s">
        <v>15</v>
      </c>
      <c r="E229" s="84">
        <v>5107110</v>
      </c>
      <c r="F229" s="71"/>
      <c r="G229" s="84">
        <v>3808902.57</v>
      </c>
      <c r="H229" s="71">
        <f t="shared" si="9"/>
        <v>5078536.76</v>
      </c>
      <c r="I229" s="55">
        <f>5579012-R229</f>
        <v>4591956.0181882307</v>
      </c>
      <c r="J229" s="5">
        <f>E229/12</f>
        <v>425592.5</v>
      </c>
      <c r="K229" s="6">
        <f>J229*1.031</f>
        <v>438785.86749999999</v>
      </c>
      <c r="L229" s="6">
        <f>(J229*9)+(K229*3)</f>
        <v>5146690.1025</v>
      </c>
      <c r="M229" s="6">
        <f>I229-L229</f>
        <v>-554734.08431176934</v>
      </c>
      <c r="N229" s="7">
        <f>L229*1.084</f>
        <v>5579012.0711100008</v>
      </c>
      <c r="Q229" s="8">
        <f>N229/13*2.3</f>
        <v>987055.98181176931</v>
      </c>
      <c r="R229" s="7">
        <v>987055.98181176931</v>
      </c>
      <c r="S229" s="23"/>
      <c r="T229" s="23"/>
      <c r="U229" s="23"/>
      <c r="V229" s="23"/>
      <c r="W229" s="23"/>
      <c r="X229" s="23"/>
      <c r="Y229" s="23"/>
      <c r="Z229" s="23"/>
      <c r="AA229" s="23"/>
      <c r="AB229" s="19"/>
    </row>
    <row r="230" spans="1:28" ht="12" hidden="1" customHeight="1">
      <c r="A230" s="1"/>
      <c r="B230" s="16"/>
      <c r="C230" s="69">
        <v>2120</v>
      </c>
      <c r="D230" s="53" t="s">
        <v>17</v>
      </c>
      <c r="E230" s="84">
        <v>1143920</v>
      </c>
      <c r="F230" s="71"/>
      <c r="G230" s="84">
        <v>844004</v>
      </c>
      <c r="H230" s="71">
        <f t="shared" si="9"/>
        <v>1125338.6666666665</v>
      </c>
      <c r="I230" s="55">
        <f>1249619-R230</f>
        <v>1028532.4992756923</v>
      </c>
      <c r="J230" s="5">
        <f>E230/12</f>
        <v>95326.666666666672</v>
      </c>
      <c r="K230" s="6">
        <f>J230*1.031</f>
        <v>98281.793333333335</v>
      </c>
      <c r="L230" s="6">
        <f>(J230*9)+(K230*3)</f>
        <v>1152785.3799999999</v>
      </c>
      <c r="M230" s="6">
        <f>I230-L230</f>
        <v>-124252.88072430762</v>
      </c>
      <c r="N230" s="7">
        <f>L230*1.084</f>
        <v>1249619.35192</v>
      </c>
      <c r="Q230" s="8">
        <f>N230/13*2.3</f>
        <v>221086.50072430767</v>
      </c>
      <c r="R230" s="7">
        <v>221086.50072430767</v>
      </c>
      <c r="S230" s="23"/>
      <c r="T230" s="23"/>
      <c r="U230" s="23"/>
      <c r="V230" s="23"/>
      <c r="W230" s="23"/>
      <c r="X230" s="23"/>
      <c r="Y230" s="23"/>
      <c r="Z230" s="23"/>
      <c r="AA230" s="23"/>
      <c r="AB230" s="19"/>
    </row>
    <row r="231" spans="1:28" ht="12" hidden="1" customHeight="1">
      <c r="A231" s="1"/>
      <c r="B231" s="16"/>
      <c r="C231" s="69" t="s">
        <v>18</v>
      </c>
      <c r="D231" s="53" t="s">
        <v>19</v>
      </c>
      <c r="E231" s="84">
        <v>103000</v>
      </c>
      <c r="F231" s="71"/>
      <c r="G231" s="84">
        <v>15994.49</v>
      </c>
      <c r="H231" s="71">
        <f t="shared" si="9"/>
        <v>21325.986666666668</v>
      </c>
      <c r="I231" s="55">
        <v>100000</v>
      </c>
      <c r="J231" s="5"/>
      <c r="O231" s="8">
        <v>116200</v>
      </c>
      <c r="S231" s="23"/>
      <c r="T231" s="23"/>
      <c r="U231" s="23"/>
      <c r="V231" s="23"/>
      <c r="W231" s="23"/>
      <c r="X231" s="23"/>
      <c r="Y231" s="23"/>
      <c r="Z231" s="23"/>
      <c r="AA231" s="23"/>
      <c r="AB231" s="19"/>
    </row>
    <row r="232" spans="1:28" ht="12" hidden="1" customHeight="1">
      <c r="A232" s="1"/>
      <c r="B232" s="16"/>
      <c r="C232" s="69" t="s">
        <v>104</v>
      </c>
      <c r="D232" s="53" t="s">
        <v>105</v>
      </c>
      <c r="E232" s="84">
        <v>2200</v>
      </c>
      <c r="F232" s="71"/>
      <c r="G232" s="84">
        <v>0</v>
      </c>
      <c r="H232" s="71">
        <f t="shared" si="9"/>
        <v>0</v>
      </c>
      <c r="I232" s="55">
        <v>10000</v>
      </c>
      <c r="J232" s="5"/>
      <c r="S232" s="23"/>
      <c r="T232" s="23"/>
      <c r="U232" s="23"/>
      <c r="V232" s="23"/>
      <c r="W232" s="23"/>
      <c r="X232" s="23"/>
      <c r="Y232" s="23"/>
      <c r="Z232" s="23"/>
      <c r="AA232" s="23"/>
      <c r="AB232" s="19"/>
    </row>
    <row r="233" spans="1:28" ht="12" hidden="1" customHeight="1">
      <c r="A233" s="1"/>
      <c r="B233" s="16"/>
      <c r="C233" s="69" t="s">
        <v>106</v>
      </c>
      <c r="D233" s="53" t="s">
        <v>107</v>
      </c>
      <c r="E233" s="84">
        <v>605000</v>
      </c>
      <c r="F233" s="71"/>
      <c r="G233" s="84">
        <v>200841.35</v>
      </c>
      <c r="H233" s="71">
        <f t="shared" si="9"/>
        <v>267788.46666666667</v>
      </c>
      <c r="I233" s="55">
        <v>653400</v>
      </c>
      <c r="J233" s="5"/>
      <c r="S233" s="23"/>
      <c r="T233" s="23"/>
      <c r="U233" s="23"/>
      <c r="V233" s="23"/>
      <c r="W233" s="23"/>
      <c r="X233" s="23"/>
      <c r="Y233" s="23"/>
      <c r="Z233" s="23"/>
      <c r="AA233" s="23"/>
      <c r="AB233" s="19"/>
    </row>
    <row r="234" spans="1:28" ht="12" hidden="1" customHeight="1">
      <c r="A234" s="1"/>
      <c r="B234" s="16"/>
      <c r="C234" s="69" t="s">
        <v>20</v>
      </c>
      <c r="D234" s="53" t="s">
        <v>21</v>
      </c>
      <c r="E234" s="84">
        <v>302000</v>
      </c>
      <c r="F234" s="71"/>
      <c r="G234" s="84">
        <v>204180.19</v>
      </c>
      <c r="H234" s="71">
        <f t="shared" si="9"/>
        <v>272240.2533333333</v>
      </c>
      <c r="I234" s="55">
        <v>300000</v>
      </c>
      <c r="J234" s="5"/>
      <c r="O234" s="8">
        <v>380000</v>
      </c>
      <c r="S234" s="23"/>
      <c r="T234" s="23"/>
      <c r="U234" s="23"/>
      <c r="V234" s="23"/>
      <c r="W234" s="23"/>
      <c r="X234" s="23"/>
      <c r="Y234" s="23"/>
      <c r="Z234" s="23"/>
      <c r="AA234" s="23"/>
      <c r="AB234" s="19"/>
    </row>
    <row r="235" spans="1:28" ht="12" hidden="1" customHeight="1">
      <c r="A235" s="1"/>
      <c r="B235" s="16"/>
      <c r="C235" s="69" t="s">
        <v>22</v>
      </c>
      <c r="D235" s="53" t="s">
        <v>108</v>
      </c>
      <c r="E235" s="84">
        <v>1100</v>
      </c>
      <c r="F235" s="71"/>
      <c r="G235" s="84">
        <v>0</v>
      </c>
      <c r="H235" s="71">
        <f t="shared" si="9"/>
        <v>0</v>
      </c>
      <c r="I235" s="55">
        <v>1100</v>
      </c>
      <c r="J235" s="5"/>
      <c r="S235" s="23"/>
      <c r="T235" s="23"/>
      <c r="U235" s="23"/>
      <c r="V235" s="23"/>
      <c r="W235" s="23"/>
      <c r="X235" s="23"/>
      <c r="Y235" s="23"/>
      <c r="Z235" s="23"/>
      <c r="AA235" s="23"/>
      <c r="AB235" s="19"/>
    </row>
    <row r="236" spans="1:28" ht="12" hidden="1" customHeight="1">
      <c r="A236" s="1"/>
      <c r="B236" s="16"/>
      <c r="C236" s="69" t="s">
        <v>24</v>
      </c>
      <c r="D236" s="53" t="s">
        <v>109</v>
      </c>
      <c r="E236" s="71"/>
      <c r="F236" s="71"/>
      <c r="G236" s="71"/>
      <c r="H236" s="71">
        <f t="shared" si="9"/>
        <v>0</v>
      </c>
      <c r="I236" s="55">
        <v>0</v>
      </c>
      <c r="J236" s="5"/>
      <c r="S236" s="23"/>
      <c r="T236" s="23"/>
      <c r="U236" s="23"/>
      <c r="V236" s="23"/>
      <c r="W236" s="23"/>
      <c r="X236" s="23"/>
      <c r="Y236" s="23"/>
      <c r="Z236" s="23"/>
      <c r="AA236" s="23"/>
      <c r="AB236" s="19"/>
    </row>
    <row r="237" spans="1:28" ht="12" hidden="1" customHeight="1">
      <c r="A237" s="1"/>
      <c r="B237" s="16"/>
      <c r="C237" s="69" t="s">
        <v>26</v>
      </c>
      <c r="D237" s="53" t="s">
        <v>110</v>
      </c>
      <c r="E237" s="84">
        <v>49100</v>
      </c>
      <c r="F237" s="71"/>
      <c r="G237" s="84">
        <v>33100</v>
      </c>
      <c r="H237" s="71">
        <f t="shared" si="9"/>
        <v>44133.333333333336</v>
      </c>
      <c r="I237" s="55">
        <v>85365</v>
      </c>
      <c r="J237" s="5"/>
      <c r="S237" s="23"/>
      <c r="T237" s="23"/>
      <c r="U237" s="23"/>
      <c r="V237" s="23"/>
      <c r="W237" s="23"/>
      <c r="X237" s="23"/>
      <c r="Y237" s="23"/>
      <c r="Z237" s="23"/>
      <c r="AA237" s="23"/>
      <c r="AB237" s="19"/>
    </row>
    <row r="238" spans="1:28" ht="12" hidden="1" customHeight="1">
      <c r="A238" s="1"/>
      <c r="B238" s="16"/>
      <c r="C238" s="69" t="s">
        <v>28</v>
      </c>
      <c r="D238" s="53" t="s">
        <v>29</v>
      </c>
      <c r="E238" s="84">
        <v>237500</v>
      </c>
      <c r="F238" s="71"/>
      <c r="G238" s="84">
        <v>109883.1</v>
      </c>
      <c r="H238" s="71">
        <f>G238/9*12</f>
        <v>146510.79999999999</v>
      </c>
      <c r="I238" s="55">
        <v>375990</v>
      </c>
      <c r="J238" s="5"/>
      <c r="S238" s="23"/>
      <c r="T238" s="23"/>
      <c r="U238" s="23"/>
      <c r="V238" s="23"/>
      <c r="W238" s="23"/>
      <c r="X238" s="23"/>
      <c r="Y238" s="23"/>
      <c r="Z238" s="23"/>
      <c r="AA238" s="23"/>
      <c r="AB238" s="19"/>
    </row>
    <row r="239" spans="1:28" ht="12" hidden="1" customHeight="1">
      <c r="A239" s="1"/>
      <c r="B239" s="16"/>
      <c r="C239" s="69" t="s">
        <v>30</v>
      </c>
      <c r="D239" s="53" t="s">
        <v>31</v>
      </c>
      <c r="E239" s="84">
        <v>491500</v>
      </c>
      <c r="F239" s="71"/>
      <c r="G239" s="84">
        <v>128471.49</v>
      </c>
      <c r="H239" s="71">
        <f>G239/9*12</f>
        <v>171295.32</v>
      </c>
      <c r="I239" s="55">
        <v>924000</v>
      </c>
      <c r="J239" s="5"/>
      <c r="S239" s="23"/>
      <c r="T239" s="23"/>
      <c r="U239" s="23"/>
      <c r="V239" s="23"/>
      <c r="W239" s="23"/>
      <c r="X239" s="23"/>
      <c r="Y239" s="23"/>
      <c r="Z239" s="23"/>
      <c r="AA239" s="23"/>
      <c r="AB239" s="19"/>
    </row>
    <row r="240" spans="1:28" ht="20.25" hidden="1" customHeight="1">
      <c r="A240" s="1"/>
      <c r="B240" s="16"/>
      <c r="C240" s="69" t="s">
        <v>32</v>
      </c>
      <c r="D240" s="53" t="s">
        <v>111</v>
      </c>
      <c r="E240" s="84">
        <v>9240</v>
      </c>
      <c r="F240" s="71"/>
      <c r="G240" s="84">
        <v>2365</v>
      </c>
      <c r="H240" s="71">
        <f>G240/9*12</f>
        <v>3153.333333333333</v>
      </c>
      <c r="I240" s="55">
        <v>10000</v>
      </c>
      <c r="J240" s="5"/>
      <c r="S240" s="23"/>
      <c r="T240" s="23"/>
      <c r="U240" s="23"/>
      <c r="V240" s="23"/>
      <c r="W240" s="23"/>
      <c r="X240" s="23"/>
      <c r="Y240" s="23"/>
      <c r="Z240" s="23"/>
      <c r="AA240" s="23"/>
      <c r="AB240" s="19"/>
    </row>
    <row r="241" spans="1:28" ht="30.75" hidden="1" customHeight="1">
      <c r="A241" s="1"/>
      <c r="B241" s="16"/>
      <c r="C241" s="69" t="s">
        <v>34</v>
      </c>
      <c r="D241" s="53" t="s">
        <v>35</v>
      </c>
      <c r="E241" s="86"/>
      <c r="F241" s="71"/>
      <c r="G241" s="84"/>
      <c r="H241" s="71">
        <f>G241/9*12</f>
        <v>0</v>
      </c>
      <c r="I241" s="55">
        <v>0</v>
      </c>
      <c r="J241" s="5"/>
      <c r="S241" s="23"/>
      <c r="T241" s="23"/>
      <c r="U241" s="23"/>
      <c r="V241" s="23"/>
      <c r="W241" s="23"/>
      <c r="X241" s="23"/>
      <c r="Y241" s="23"/>
      <c r="Z241" s="23"/>
      <c r="AA241" s="23"/>
      <c r="AB241" s="19"/>
    </row>
    <row r="242" spans="1:28" ht="12" hidden="1" customHeight="1">
      <c r="A242" s="1"/>
      <c r="B242" s="16"/>
      <c r="C242" s="69" t="s">
        <v>36</v>
      </c>
      <c r="D242" s="53" t="s">
        <v>37</v>
      </c>
      <c r="E242" s="84">
        <v>3520</v>
      </c>
      <c r="F242" s="71"/>
      <c r="G242" s="71">
        <v>0</v>
      </c>
      <c r="H242" s="71">
        <f>G242/9*12</f>
        <v>0</v>
      </c>
      <c r="I242" s="55">
        <v>3520</v>
      </c>
      <c r="J242" s="5"/>
      <c r="S242" s="23"/>
      <c r="T242" s="23"/>
      <c r="U242" s="23"/>
      <c r="V242" s="23"/>
      <c r="W242" s="23"/>
      <c r="X242" s="23"/>
      <c r="Y242" s="23"/>
      <c r="Z242" s="23"/>
      <c r="AA242" s="23"/>
      <c r="AB242" s="19"/>
    </row>
    <row r="243" spans="1:28" ht="12" hidden="1" customHeight="1">
      <c r="A243" s="1"/>
      <c r="B243" s="16"/>
      <c r="C243" s="87">
        <v>3110</v>
      </c>
      <c r="D243" s="88"/>
      <c r="E243" s="89"/>
      <c r="F243" s="90"/>
      <c r="G243" s="90"/>
      <c r="H243" s="90"/>
      <c r="I243" s="91">
        <v>23000</v>
      </c>
      <c r="J243" s="13"/>
      <c r="K243" s="14"/>
      <c r="L243" s="14"/>
      <c r="M243" s="14"/>
      <c r="N243" s="15"/>
      <c r="O243" s="24"/>
      <c r="P243" s="8" t="s">
        <v>123</v>
      </c>
      <c r="S243" s="23"/>
      <c r="T243" s="23"/>
      <c r="U243" s="23"/>
      <c r="V243" s="23"/>
      <c r="W243" s="23"/>
      <c r="X243" s="23"/>
      <c r="Y243" s="23"/>
      <c r="Z243" s="23"/>
      <c r="AA243" s="23"/>
      <c r="AB243" s="19"/>
    </row>
    <row r="244" spans="1:28" ht="12" hidden="1" customHeight="1">
      <c r="A244" s="1"/>
      <c r="B244" s="16"/>
      <c r="C244" s="65">
        <v>611010</v>
      </c>
      <c r="D244" s="66" t="s">
        <v>124</v>
      </c>
      <c r="E244" s="67">
        <f>SUM(E245:E257)</f>
        <v>3274185</v>
      </c>
      <c r="F244" s="71"/>
      <c r="G244" s="67">
        <f>SUM(G245:G256)</f>
        <v>2102349.79</v>
      </c>
      <c r="H244" s="67">
        <f>SUM(H245:H256)</f>
        <v>2803133.0533333332</v>
      </c>
      <c r="I244" s="68">
        <f>I245+I246+I247+I248+I249+I250+I251+I252+I253+I254+I255+I256+I257</f>
        <v>3731922.26896</v>
      </c>
      <c r="J244" s="5"/>
      <c r="S244" s="23"/>
      <c r="T244" s="23"/>
      <c r="U244" s="23"/>
      <c r="V244" s="23"/>
      <c r="W244" s="23"/>
      <c r="X244" s="23"/>
      <c r="Y244" s="23"/>
      <c r="Z244" s="23"/>
      <c r="AA244" s="23"/>
      <c r="AB244" s="19"/>
    </row>
    <row r="245" spans="1:28" ht="12" hidden="1" customHeight="1">
      <c r="A245" s="1"/>
      <c r="B245" s="16"/>
      <c r="C245" s="69">
        <v>2111</v>
      </c>
      <c r="D245" s="53" t="s">
        <v>15</v>
      </c>
      <c r="E245" s="84">
        <v>1964960</v>
      </c>
      <c r="F245" s="71"/>
      <c r="G245" s="84">
        <v>1482986.76</v>
      </c>
      <c r="H245" s="71">
        <f t="shared" ref="H245:H257" si="10">G245/9*12</f>
        <v>1977315.6800000002</v>
      </c>
      <c r="I245" s="55">
        <v>2146524.26896</v>
      </c>
      <c r="J245" s="5">
        <f>E245/12</f>
        <v>163746.66666666666</v>
      </c>
      <c r="K245" s="6">
        <f>J245*1.031</f>
        <v>168822.8133333333</v>
      </c>
      <c r="L245" s="6">
        <f>(J245*9)+(K245*3)</f>
        <v>1980188.44</v>
      </c>
      <c r="M245" s="6">
        <f>I245-L245</f>
        <v>166335.82896000007</v>
      </c>
      <c r="N245" s="7">
        <f>L245*1.084</f>
        <v>2146524.26896</v>
      </c>
      <c r="Q245" s="8">
        <f>N245/13*2.3</f>
        <v>379769.6783544615</v>
      </c>
      <c r="R245" s="7">
        <v>379769.6783544615</v>
      </c>
      <c r="S245" s="23"/>
      <c r="T245" s="23"/>
      <c r="U245" s="23"/>
      <c r="V245" s="23"/>
      <c r="W245" s="23"/>
      <c r="X245" s="23"/>
      <c r="Y245" s="23"/>
      <c r="Z245" s="23"/>
      <c r="AA245" s="23"/>
      <c r="AB245" s="19"/>
    </row>
    <row r="246" spans="1:28" ht="12" hidden="1" customHeight="1">
      <c r="A246" s="1"/>
      <c r="B246" s="16"/>
      <c r="C246" s="69">
        <v>2120</v>
      </c>
      <c r="D246" s="53" t="s">
        <v>17</v>
      </c>
      <c r="E246" s="84">
        <v>476380</v>
      </c>
      <c r="F246" s="71"/>
      <c r="G246" s="84">
        <v>320212.34000000003</v>
      </c>
      <c r="H246" s="71">
        <f t="shared" si="10"/>
        <v>426949.78666666674</v>
      </c>
      <c r="I246" s="55">
        <v>520398</v>
      </c>
      <c r="J246" s="5">
        <f>E246/12</f>
        <v>39698.333333333336</v>
      </c>
      <c r="K246" s="6">
        <f>J246*1.031</f>
        <v>40928.981666666667</v>
      </c>
      <c r="L246" s="6">
        <f>(J246*9)+(K246*3)</f>
        <v>480071.94500000001</v>
      </c>
      <c r="M246" s="6">
        <f>I246-L246</f>
        <v>40326.054999999993</v>
      </c>
      <c r="N246" s="7">
        <f>L246*1.084</f>
        <v>520397.98838000005</v>
      </c>
      <c r="Q246" s="8">
        <f>N246/13*2.3</f>
        <v>92070.413328769238</v>
      </c>
      <c r="R246" s="7">
        <v>92070.413328769238</v>
      </c>
      <c r="S246" s="23"/>
      <c r="T246" s="23"/>
      <c r="U246" s="23"/>
      <c r="V246" s="23"/>
      <c r="W246" s="23"/>
      <c r="X246" s="23"/>
      <c r="Y246" s="23"/>
      <c r="Z246" s="23"/>
      <c r="AA246" s="23"/>
      <c r="AB246" s="19"/>
    </row>
    <row r="247" spans="1:28" ht="12" hidden="1" customHeight="1">
      <c r="A247" s="1"/>
      <c r="B247" s="16"/>
      <c r="C247" s="69" t="s">
        <v>18</v>
      </c>
      <c r="D247" s="53" t="s">
        <v>19</v>
      </c>
      <c r="E247" s="84">
        <v>37300</v>
      </c>
      <c r="F247" s="71"/>
      <c r="G247" s="84">
        <v>22922.959999999999</v>
      </c>
      <c r="H247" s="71">
        <f t="shared" si="10"/>
        <v>30563.946666666663</v>
      </c>
      <c r="I247" s="55">
        <v>80000</v>
      </c>
      <c r="J247" s="5"/>
      <c r="O247" s="8">
        <v>80000</v>
      </c>
      <c r="S247" s="23"/>
      <c r="T247" s="23"/>
      <c r="U247" s="23"/>
      <c r="V247" s="23"/>
      <c r="W247" s="23"/>
      <c r="X247" s="23"/>
      <c r="Y247" s="23"/>
      <c r="Z247" s="23"/>
      <c r="AA247" s="23"/>
      <c r="AB247" s="19"/>
    </row>
    <row r="248" spans="1:28" ht="12" hidden="1" customHeight="1">
      <c r="A248" s="1"/>
      <c r="B248" s="16"/>
      <c r="C248" s="69" t="s">
        <v>104</v>
      </c>
      <c r="D248" s="53" t="s">
        <v>105</v>
      </c>
      <c r="E248" s="84">
        <v>30000</v>
      </c>
      <c r="F248" s="71"/>
      <c r="G248" s="84">
        <v>1692</v>
      </c>
      <c r="H248" s="71">
        <f t="shared" si="10"/>
        <v>2256</v>
      </c>
      <c r="I248" s="55">
        <v>35000</v>
      </c>
      <c r="J248" s="5"/>
      <c r="S248" s="23"/>
      <c r="T248" s="23"/>
      <c r="U248" s="23"/>
      <c r="V248" s="23"/>
      <c r="W248" s="23"/>
      <c r="X248" s="23"/>
      <c r="Y248" s="23"/>
      <c r="Z248" s="23"/>
      <c r="AA248" s="23"/>
      <c r="AB248" s="19"/>
    </row>
    <row r="249" spans="1:28" ht="12" hidden="1" customHeight="1">
      <c r="A249" s="1"/>
      <c r="B249" s="16"/>
      <c r="C249" s="69" t="s">
        <v>106</v>
      </c>
      <c r="D249" s="53" t="s">
        <v>107</v>
      </c>
      <c r="E249" s="84">
        <v>300000</v>
      </c>
      <c r="F249" s="71"/>
      <c r="G249" s="84">
        <v>79808.33</v>
      </c>
      <c r="H249" s="71">
        <f t="shared" si="10"/>
        <v>106411.10666666666</v>
      </c>
      <c r="I249" s="55">
        <v>300000</v>
      </c>
      <c r="J249" s="5"/>
      <c r="S249" s="23"/>
      <c r="T249" s="23"/>
      <c r="U249" s="23"/>
      <c r="V249" s="23"/>
      <c r="W249" s="23"/>
      <c r="X249" s="23"/>
      <c r="Y249" s="23"/>
      <c r="Z249" s="23"/>
      <c r="AA249" s="23"/>
      <c r="AB249" s="19"/>
    </row>
    <row r="250" spans="1:28" ht="12" hidden="1" customHeight="1">
      <c r="A250" s="1"/>
      <c r="B250" s="16"/>
      <c r="C250" s="69" t="s">
        <v>20</v>
      </c>
      <c r="D250" s="53" t="s">
        <v>21</v>
      </c>
      <c r="E250" s="84">
        <v>215545</v>
      </c>
      <c r="F250" s="71"/>
      <c r="G250" s="84">
        <v>139790.74</v>
      </c>
      <c r="H250" s="71">
        <f t="shared" si="10"/>
        <v>186387.65333333332</v>
      </c>
      <c r="I250" s="55">
        <v>250000</v>
      </c>
      <c r="J250" s="5"/>
      <c r="O250" s="8">
        <v>300000</v>
      </c>
      <c r="S250" s="23"/>
      <c r="T250" s="23"/>
      <c r="U250" s="23"/>
      <c r="V250" s="23"/>
      <c r="W250" s="23"/>
      <c r="X250" s="23"/>
      <c r="Y250" s="23"/>
      <c r="Z250" s="23"/>
      <c r="AA250" s="23"/>
      <c r="AB250" s="19"/>
    </row>
    <row r="251" spans="1:28" ht="12" hidden="1" customHeight="1">
      <c r="A251" s="1"/>
      <c r="B251" s="16"/>
      <c r="C251" s="69" t="s">
        <v>22</v>
      </c>
      <c r="D251" s="53" t="s">
        <v>108</v>
      </c>
      <c r="E251" s="71"/>
      <c r="F251" s="71"/>
      <c r="G251" s="71"/>
      <c r="H251" s="71">
        <f t="shared" si="10"/>
        <v>0</v>
      </c>
      <c r="I251" s="55">
        <v>0</v>
      </c>
      <c r="J251" s="5"/>
      <c r="S251" s="23"/>
      <c r="T251" s="23"/>
      <c r="U251" s="23"/>
      <c r="V251" s="23"/>
      <c r="W251" s="23"/>
      <c r="X251" s="23"/>
      <c r="Y251" s="23"/>
      <c r="Z251" s="23"/>
      <c r="AA251" s="23"/>
      <c r="AB251" s="19"/>
    </row>
    <row r="252" spans="1:28" ht="12" hidden="1" customHeight="1">
      <c r="A252" s="1"/>
      <c r="B252" s="16"/>
      <c r="C252" s="69" t="s">
        <v>24</v>
      </c>
      <c r="D252" s="53" t="s">
        <v>109</v>
      </c>
      <c r="E252" s="71"/>
      <c r="F252" s="71"/>
      <c r="G252" s="71"/>
      <c r="H252" s="71">
        <f t="shared" si="10"/>
        <v>0</v>
      </c>
      <c r="I252" s="55">
        <v>0</v>
      </c>
      <c r="J252" s="5"/>
      <c r="S252" s="23"/>
      <c r="T252" s="23"/>
      <c r="U252" s="23"/>
      <c r="V252" s="23"/>
      <c r="W252" s="23"/>
      <c r="X252" s="23"/>
      <c r="Y252" s="23"/>
      <c r="Z252" s="23"/>
      <c r="AA252" s="23"/>
      <c r="AB252" s="19"/>
    </row>
    <row r="253" spans="1:28" ht="12" hidden="1" customHeight="1">
      <c r="A253" s="1"/>
      <c r="B253" s="16"/>
      <c r="C253" s="69" t="s">
        <v>26</v>
      </c>
      <c r="D253" s="53" t="s">
        <v>110</v>
      </c>
      <c r="E253" s="84">
        <v>10000</v>
      </c>
      <c r="F253" s="71"/>
      <c r="G253" s="84">
        <v>1365</v>
      </c>
      <c r="H253" s="71">
        <f t="shared" si="10"/>
        <v>1820</v>
      </c>
      <c r="I253" s="55">
        <v>25000</v>
      </c>
      <c r="J253" s="5"/>
      <c r="S253" s="21"/>
      <c r="T253" s="21"/>
      <c r="U253" s="21"/>
      <c r="V253" s="21"/>
      <c r="W253" s="21"/>
      <c r="X253" s="21"/>
      <c r="Y253" s="21"/>
      <c r="Z253" s="21"/>
      <c r="AA253" s="21"/>
      <c r="AB253" s="19"/>
    </row>
    <row r="254" spans="1:28" ht="12" hidden="1" customHeight="1">
      <c r="A254" s="1"/>
      <c r="B254" s="16"/>
      <c r="C254" s="69" t="s">
        <v>28</v>
      </c>
      <c r="D254" s="53" t="s">
        <v>29</v>
      </c>
      <c r="E254" s="84">
        <v>80000</v>
      </c>
      <c r="F254" s="71"/>
      <c r="G254" s="84">
        <v>0</v>
      </c>
      <c r="H254" s="71">
        <f t="shared" si="10"/>
        <v>0</v>
      </c>
      <c r="I254" s="55">
        <v>120000</v>
      </c>
      <c r="J254" s="5"/>
      <c r="S254" s="23"/>
      <c r="T254" s="23"/>
      <c r="U254" s="23"/>
      <c r="V254" s="23"/>
      <c r="W254" s="23"/>
      <c r="X254" s="23"/>
      <c r="Y254" s="23"/>
      <c r="Z254" s="23"/>
      <c r="AA254" s="23"/>
      <c r="AB254" s="19"/>
    </row>
    <row r="255" spans="1:28" ht="12" hidden="1" customHeight="1">
      <c r="A255" s="1"/>
      <c r="B255" s="16"/>
      <c r="C255" s="69" t="s">
        <v>30</v>
      </c>
      <c r="D255" s="53" t="s">
        <v>31</v>
      </c>
      <c r="E255" s="84">
        <v>150000</v>
      </c>
      <c r="F255" s="71"/>
      <c r="G255" s="84">
        <v>52336.11</v>
      </c>
      <c r="H255" s="71">
        <f t="shared" si="10"/>
        <v>69781.48</v>
      </c>
      <c r="I255" s="55">
        <v>230000</v>
      </c>
      <c r="J255" s="5"/>
      <c r="S255" s="23"/>
      <c r="T255" s="23"/>
      <c r="U255" s="23"/>
      <c r="V255" s="23"/>
      <c r="W255" s="23"/>
      <c r="X255" s="23"/>
      <c r="Y255" s="23"/>
      <c r="Z255" s="23"/>
      <c r="AA255" s="23"/>
      <c r="AB255" s="19"/>
    </row>
    <row r="256" spans="1:28" ht="15" hidden="1" customHeight="1">
      <c r="A256" s="1"/>
      <c r="B256" s="16"/>
      <c r="C256" s="69" t="s">
        <v>32</v>
      </c>
      <c r="D256" s="53" t="s">
        <v>111</v>
      </c>
      <c r="E256" s="84">
        <v>10000</v>
      </c>
      <c r="F256" s="71"/>
      <c r="G256" s="84">
        <v>1235.55</v>
      </c>
      <c r="H256" s="71">
        <f t="shared" si="10"/>
        <v>1647.4</v>
      </c>
      <c r="I256" s="55">
        <v>25000</v>
      </c>
      <c r="J256" s="5"/>
      <c r="S256" s="23"/>
      <c r="T256" s="23"/>
      <c r="U256" s="23"/>
      <c r="V256" s="23"/>
      <c r="W256" s="23"/>
      <c r="X256" s="23"/>
      <c r="Y256" s="23"/>
      <c r="Z256" s="23"/>
      <c r="AA256" s="23"/>
      <c r="AB256" s="19"/>
    </row>
    <row r="257" spans="1:28" ht="6" hidden="1" customHeight="1">
      <c r="A257" s="1"/>
      <c r="B257" s="16"/>
      <c r="C257" s="69" t="s">
        <v>34</v>
      </c>
      <c r="D257" s="53" t="s">
        <v>35</v>
      </c>
      <c r="E257" s="71"/>
      <c r="F257" s="71"/>
      <c r="G257" s="71"/>
      <c r="H257" s="71">
        <f t="shared" si="10"/>
        <v>0</v>
      </c>
      <c r="I257" s="55">
        <v>0</v>
      </c>
      <c r="J257" s="5"/>
      <c r="S257" s="21"/>
      <c r="T257" s="21"/>
      <c r="U257" s="21"/>
      <c r="V257" s="21"/>
      <c r="W257" s="21"/>
      <c r="X257" s="21"/>
      <c r="Y257" s="21"/>
      <c r="Z257" s="21"/>
      <c r="AA257" s="21"/>
      <c r="AB257" s="19"/>
    </row>
    <row r="258" spans="1:28" ht="24" customHeight="1">
      <c r="A258" s="1"/>
      <c r="B258" s="16"/>
      <c r="C258" s="65" t="s">
        <v>125</v>
      </c>
      <c r="D258" s="66" t="s">
        <v>126</v>
      </c>
      <c r="E258" s="67">
        <v>103096034.98</v>
      </c>
      <c r="F258" s="67">
        <v>78536483.980000004</v>
      </c>
      <c r="G258" s="67">
        <v>36475204.339999996</v>
      </c>
      <c r="H258" s="67">
        <f t="shared" ref="H258:H271" si="11">(G258/9)*12</f>
        <v>48633605.786666662</v>
      </c>
      <c r="I258" s="68">
        <f>I259+I260+I261+I262+I263+I264+I265+I266+I267+I268+I269+I270+I271+I273+I272</f>
        <v>118817234.49230769</v>
      </c>
      <c r="J258" s="25">
        <f>J259+J260+J261+J262+J263+J264+J265+J266+J267+J268+J269+J270+J271-J440</f>
        <v>-147785833.33333334</v>
      </c>
      <c r="K258" s="26">
        <f>K259+K260+K261+K262+K263+K264+K265+K266+K267+K268+K269+K270+K271-K440</f>
        <v>0</v>
      </c>
      <c r="L258" s="26">
        <f>L259+L260+L261+L262+L263+L264+L265+L266+L267+L268+L269+L270+L271-L440</f>
        <v>0</v>
      </c>
      <c r="M258" s="26">
        <f>M259+M260+M261+M262+M263+M264+M265+M266+M267+M268+M269+M270+M271-M440</f>
        <v>0</v>
      </c>
      <c r="N258" s="26">
        <f>N259+N260+N261+N262+N263+N264+N265+N266+N267+N268+N269+N270+N271-N440</f>
        <v>0</v>
      </c>
      <c r="O258" s="26"/>
      <c r="S258" s="21"/>
      <c r="T258" s="21"/>
      <c r="U258" s="21"/>
      <c r="V258" s="21"/>
      <c r="W258" s="21"/>
      <c r="X258" s="21"/>
      <c r="Y258" s="21"/>
      <c r="Z258" s="21"/>
      <c r="AA258" s="21"/>
      <c r="AB258" s="19"/>
    </row>
    <row r="259" spans="1:28" ht="12" customHeight="1">
      <c r="A259" s="1"/>
      <c r="B259" s="16"/>
      <c r="C259" s="69" t="s">
        <v>14</v>
      </c>
      <c r="D259" s="53" t="s">
        <v>15</v>
      </c>
      <c r="E259" s="71">
        <v>54322093</v>
      </c>
      <c r="F259" s="71">
        <v>41342139</v>
      </c>
      <c r="G259" s="71">
        <v>23827454.760000002</v>
      </c>
      <c r="H259" s="71">
        <f t="shared" si="11"/>
        <v>31769939.680000003</v>
      </c>
      <c r="I259" s="55">
        <f>I275+I289+I304+I319+I334+I349+I364+I379+I396+I426+I411+I381</f>
        <v>64065650.092307687</v>
      </c>
      <c r="J259" s="27">
        <f>J275+J289+J304+J319+J334+J349+J364+J379+J396+J426</f>
        <v>12009873.333333332</v>
      </c>
      <c r="K259" s="8">
        <f>K275+K289+K304+K319+K334+K349+K364+K379+K396+K426</f>
        <v>0</v>
      </c>
      <c r="L259" s="8">
        <f>L275+L289+L304+L319+L334+L349+L364+L379+L396+L426</f>
        <v>0</v>
      </c>
      <c r="M259" s="8">
        <f>M275+M289+M304+M319+M334+M349+M364+M379+M396+M426</f>
        <v>0</v>
      </c>
      <c r="N259" s="8">
        <f>N275+N289+N304+N319+N334+N349+N364+N379+N396+N426</f>
        <v>0</v>
      </c>
      <c r="S259" s="21"/>
      <c r="T259" s="21"/>
      <c r="U259" s="21"/>
      <c r="V259" s="21"/>
      <c r="W259" s="21"/>
      <c r="X259" s="21"/>
      <c r="Y259" s="21"/>
      <c r="Z259" s="21"/>
      <c r="AA259" s="21"/>
      <c r="AB259" s="19"/>
    </row>
    <row r="260" spans="1:28" ht="12" customHeight="1">
      <c r="A260" s="1"/>
      <c r="B260" s="16"/>
      <c r="C260" s="69" t="s">
        <v>16</v>
      </c>
      <c r="D260" s="53" t="s">
        <v>17</v>
      </c>
      <c r="E260" s="71">
        <v>11981824.98</v>
      </c>
      <c r="F260" s="71">
        <v>9095269.9800000004</v>
      </c>
      <c r="G260" s="71">
        <v>5329014.05</v>
      </c>
      <c r="H260" s="71">
        <f t="shared" si="11"/>
        <v>7105352.0666666664</v>
      </c>
      <c r="I260" s="55">
        <f>I276+I290+I305+I320+I335+I350+I365+I380+I397+I412+I427+I382</f>
        <v>14184762.399999999</v>
      </c>
      <c r="J260" s="27">
        <f t="shared" ref="J260:N260" si="12">J276+J290+J305+J320+J335+J350+J365+J380+J397+J412+J427</f>
        <v>2748793.333333334</v>
      </c>
      <c r="K260" s="8">
        <f t="shared" si="12"/>
        <v>0</v>
      </c>
      <c r="L260" s="8">
        <f t="shared" si="12"/>
        <v>0</v>
      </c>
      <c r="M260" s="8">
        <f t="shared" si="12"/>
        <v>0</v>
      </c>
      <c r="N260" s="8">
        <f t="shared" si="12"/>
        <v>0</v>
      </c>
      <c r="S260" s="21"/>
      <c r="T260" s="21"/>
      <c r="U260" s="21"/>
      <c r="V260" s="21"/>
      <c r="W260" s="21"/>
      <c r="X260" s="21"/>
      <c r="Y260" s="21"/>
      <c r="Z260" s="21"/>
      <c r="AA260" s="21"/>
      <c r="AB260" s="19"/>
    </row>
    <row r="261" spans="1:28" ht="15" customHeight="1">
      <c r="A261" s="1"/>
      <c r="B261" s="16"/>
      <c r="C261" s="69" t="s">
        <v>18</v>
      </c>
      <c r="D261" s="53" t="s">
        <v>19</v>
      </c>
      <c r="E261" s="71">
        <v>11286207</v>
      </c>
      <c r="F261" s="71">
        <v>8619720</v>
      </c>
      <c r="G261" s="71">
        <v>2317767.08</v>
      </c>
      <c r="H261" s="71">
        <f t="shared" si="11"/>
        <v>3090356.1066666665</v>
      </c>
      <c r="I261" s="55">
        <f t="shared" ref="I261:I271" si="13">I277+I291+I306+I321+I336+I351+I366+I383+I398+I413+I428</f>
        <v>3700000</v>
      </c>
      <c r="J261" s="5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</row>
    <row r="262" spans="1:28" ht="14.25" customHeight="1">
      <c r="A262" s="1"/>
      <c r="B262" s="16"/>
      <c r="C262" s="69" t="s">
        <v>104</v>
      </c>
      <c r="D262" s="53" t="s">
        <v>105</v>
      </c>
      <c r="E262" s="71">
        <v>5000</v>
      </c>
      <c r="F262" s="71">
        <v>5000</v>
      </c>
      <c r="G262" s="71">
        <v>0</v>
      </c>
      <c r="H262" s="71">
        <f t="shared" si="11"/>
        <v>0</v>
      </c>
      <c r="I262" s="55">
        <f t="shared" si="13"/>
        <v>53252</v>
      </c>
      <c r="J262" s="5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</row>
    <row r="263" spans="1:28" ht="12" customHeight="1">
      <c r="A263" s="1"/>
      <c r="B263" s="16"/>
      <c r="C263" s="69" t="s">
        <v>106</v>
      </c>
      <c r="D263" s="53" t="s">
        <v>107</v>
      </c>
      <c r="E263" s="71">
        <v>1783300</v>
      </c>
      <c r="F263" s="71">
        <v>1663800</v>
      </c>
      <c r="G263" s="71">
        <v>575300.82999999996</v>
      </c>
      <c r="H263" s="71">
        <f t="shared" si="11"/>
        <v>767067.77333333332</v>
      </c>
      <c r="I263" s="55">
        <f t="shared" si="13"/>
        <v>12681430</v>
      </c>
      <c r="J263" s="5"/>
    </row>
    <row r="264" spans="1:28" ht="12" customHeight="1">
      <c r="A264" s="1"/>
      <c r="B264" s="16"/>
      <c r="C264" s="69" t="s">
        <v>20</v>
      </c>
      <c r="D264" s="53" t="s">
        <v>21</v>
      </c>
      <c r="E264" s="71">
        <v>9527300</v>
      </c>
      <c r="F264" s="71">
        <v>7970000</v>
      </c>
      <c r="G264" s="71">
        <v>855475.79</v>
      </c>
      <c r="H264" s="71">
        <f t="shared" si="11"/>
        <v>1140634.3866666667</v>
      </c>
      <c r="I264" s="55">
        <f t="shared" si="13"/>
        <v>3200000</v>
      </c>
      <c r="J264" s="5"/>
    </row>
    <row r="265" spans="1:28" ht="12" customHeight="1">
      <c r="A265" s="1"/>
      <c r="B265" s="16"/>
      <c r="C265" s="69" t="s">
        <v>22</v>
      </c>
      <c r="D265" s="53" t="s">
        <v>108</v>
      </c>
      <c r="E265" s="71">
        <v>155950</v>
      </c>
      <c r="F265" s="71">
        <v>155950</v>
      </c>
      <c r="G265" s="71">
        <v>2819</v>
      </c>
      <c r="H265" s="71">
        <f t="shared" si="11"/>
        <v>3758.666666666667</v>
      </c>
      <c r="I265" s="55">
        <f t="shared" si="13"/>
        <v>185420</v>
      </c>
      <c r="J265" s="5"/>
    </row>
    <row r="266" spans="1:28" ht="12" customHeight="1">
      <c r="A266" s="1"/>
      <c r="B266" s="16"/>
      <c r="C266" s="69" t="s">
        <v>24</v>
      </c>
      <c r="D266" s="53" t="s">
        <v>109</v>
      </c>
      <c r="E266" s="71">
        <v>7450620</v>
      </c>
      <c r="F266" s="71">
        <v>5320620</v>
      </c>
      <c r="G266" s="71">
        <v>2157126.06</v>
      </c>
      <c r="H266" s="71">
        <f t="shared" si="11"/>
        <v>2876168.08</v>
      </c>
      <c r="I266" s="55">
        <f t="shared" si="13"/>
        <v>9985000</v>
      </c>
      <c r="J266" s="5"/>
    </row>
    <row r="267" spans="1:28" ht="20.100000000000001" customHeight="1">
      <c r="A267" s="1"/>
      <c r="B267" s="16"/>
      <c r="C267" s="69" t="s">
        <v>26</v>
      </c>
      <c r="D267" s="53" t="s">
        <v>110</v>
      </c>
      <c r="E267" s="71">
        <v>504000</v>
      </c>
      <c r="F267" s="71">
        <v>354100</v>
      </c>
      <c r="G267" s="71">
        <v>120353.91</v>
      </c>
      <c r="H267" s="71">
        <f t="shared" si="11"/>
        <v>160471.88</v>
      </c>
      <c r="I267" s="55">
        <f t="shared" si="13"/>
        <v>610020</v>
      </c>
      <c r="J267" s="5"/>
    </row>
    <row r="268" spans="1:28" ht="12" customHeight="1">
      <c r="A268" s="1"/>
      <c r="B268" s="16"/>
      <c r="C268" s="69" t="s">
        <v>28</v>
      </c>
      <c r="D268" s="53" t="s">
        <v>29</v>
      </c>
      <c r="E268" s="71">
        <v>3005070</v>
      </c>
      <c r="F268" s="71">
        <v>1992750</v>
      </c>
      <c r="G268" s="71">
        <v>1079910.82</v>
      </c>
      <c r="H268" s="71">
        <f t="shared" si="11"/>
        <v>1439881.0933333335</v>
      </c>
      <c r="I268" s="55">
        <f t="shared" si="13"/>
        <v>4174500</v>
      </c>
      <c r="J268" s="5"/>
    </row>
    <row r="269" spans="1:28" ht="12" customHeight="1">
      <c r="A269" s="1"/>
      <c r="B269" s="16"/>
      <c r="C269" s="69" t="s">
        <v>30</v>
      </c>
      <c r="D269" s="53" t="s">
        <v>31</v>
      </c>
      <c r="E269" s="71">
        <v>581450</v>
      </c>
      <c r="F269" s="71">
        <v>366700</v>
      </c>
      <c r="G269" s="71">
        <v>26017.54</v>
      </c>
      <c r="H269" s="71">
        <f t="shared" si="11"/>
        <v>34690.05333333333</v>
      </c>
      <c r="I269" s="55">
        <f t="shared" si="13"/>
        <v>1500000</v>
      </c>
      <c r="J269" s="5"/>
    </row>
    <row r="270" spans="1:28" ht="17.25" customHeight="1">
      <c r="A270" s="1"/>
      <c r="B270" s="16"/>
      <c r="C270" s="69" t="s">
        <v>32</v>
      </c>
      <c r="D270" s="53" t="s">
        <v>111</v>
      </c>
      <c r="E270" s="71">
        <v>1933000</v>
      </c>
      <c r="F270" s="71">
        <v>1200270</v>
      </c>
      <c r="G270" s="71">
        <v>137496.13</v>
      </c>
      <c r="H270" s="71">
        <f t="shared" si="11"/>
        <v>183328.17333333334</v>
      </c>
      <c r="I270" s="55">
        <f t="shared" si="13"/>
        <v>3592200</v>
      </c>
      <c r="J270" s="5"/>
    </row>
    <row r="271" spans="1:28" ht="23.25" customHeight="1">
      <c r="A271" s="1"/>
      <c r="B271" s="16"/>
      <c r="C271" s="69" t="s">
        <v>34</v>
      </c>
      <c r="D271" s="53" t="s">
        <v>35</v>
      </c>
      <c r="E271" s="71">
        <v>560220</v>
      </c>
      <c r="F271" s="71">
        <v>450165</v>
      </c>
      <c r="G271" s="71">
        <v>46468.37</v>
      </c>
      <c r="H271" s="71">
        <f t="shared" si="11"/>
        <v>61957.826666666675</v>
      </c>
      <c r="I271" s="55">
        <f t="shared" si="13"/>
        <v>335000</v>
      </c>
      <c r="J271" s="5"/>
    </row>
    <row r="272" spans="1:28" ht="15" customHeight="1">
      <c r="A272" s="1"/>
      <c r="B272" s="16"/>
      <c r="C272" s="69">
        <v>2800</v>
      </c>
      <c r="D272" s="53" t="s">
        <v>37</v>
      </c>
      <c r="E272" s="71"/>
      <c r="F272" s="71"/>
      <c r="G272" s="71"/>
      <c r="H272" s="71"/>
      <c r="I272" s="55">
        <v>10000</v>
      </c>
      <c r="J272" s="5"/>
    </row>
    <row r="273" spans="1:19" ht="23.25" customHeight="1">
      <c r="A273" s="1"/>
      <c r="B273" s="16"/>
      <c r="C273" s="69">
        <v>3110</v>
      </c>
      <c r="D273" s="53" t="s">
        <v>38</v>
      </c>
      <c r="E273" s="92"/>
      <c r="F273" s="71"/>
      <c r="G273" s="71"/>
      <c r="H273" s="71"/>
      <c r="I273" s="55">
        <f>I302+I317+I332+I347+I362+I377+I409+I424+I439</f>
        <v>540000</v>
      </c>
      <c r="J273" s="5"/>
    </row>
    <row r="274" spans="1:19" ht="23.25" hidden="1" customHeight="1" thickBot="1">
      <c r="A274" s="1"/>
      <c r="B274" s="16"/>
      <c r="C274" s="65" t="s">
        <v>125</v>
      </c>
      <c r="D274" s="66" t="s">
        <v>127</v>
      </c>
      <c r="E274" s="71"/>
      <c r="F274" s="71"/>
      <c r="G274" s="71"/>
      <c r="H274" s="71"/>
      <c r="I274" s="68">
        <f>I275+I276+I277+I278+I279+I280+I281+I282+I283+I284+I285+I286+I287</f>
        <v>2134523</v>
      </c>
      <c r="J274" s="5">
        <f t="shared" ref="J274:J331" si="14">E274/12</f>
        <v>0</v>
      </c>
      <c r="S274" s="28"/>
    </row>
    <row r="275" spans="1:19" ht="23.25" hidden="1" customHeight="1">
      <c r="A275" s="1"/>
      <c r="B275" s="16"/>
      <c r="C275" s="69">
        <v>2111</v>
      </c>
      <c r="D275" s="53" t="s">
        <v>15</v>
      </c>
      <c r="E275" s="93">
        <v>2500000</v>
      </c>
      <c r="F275" s="71"/>
      <c r="G275" s="71"/>
      <c r="H275" s="71"/>
      <c r="I275" s="55">
        <f>2710000-1371720-R275</f>
        <v>1202290</v>
      </c>
      <c r="J275" s="5">
        <f t="shared" ref="J275:J284" si="15">E334/12</f>
        <v>1238333.3333333333</v>
      </c>
      <c r="O275" s="8">
        <v>2710000</v>
      </c>
      <c r="Q275" s="29">
        <f>I275/13*2</f>
        <v>184967.69230769231</v>
      </c>
      <c r="R275" s="7">
        <v>135990</v>
      </c>
    </row>
    <row r="276" spans="1:19" ht="23.25" hidden="1" customHeight="1">
      <c r="A276" s="1"/>
      <c r="B276" s="16"/>
      <c r="C276" s="69">
        <v>2120</v>
      </c>
      <c r="D276" s="53" t="s">
        <v>17</v>
      </c>
      <c r="E276" s="94">
        <v>550000</v>
      </c>
      <c r="F276" s="71"/>
      <c r="G276" s="71"/>
      <c r="H276" s="71"/>
      <c r="I276" s="55">
        <f>596200-301778-R276</f>
        <v>268841</v>
      </c>
      <c r="J276" s="5">
        <f t="shared" si="15"/>
        <v>272441.66666666669</v>
      </c>
      <c r="O276" s="8">
        <v>596200</v>
      </c>
      <c r="Q276" s="29">
        <f>I276/13*2</f>
        <v>41360.153846153844</v>
      </c>
      <c r="R276" s="7">
        <v>25581</v>
      </c>
    </row>
    <row r="277" spans="1:19" ht="23.25" hidden="1" customHeight="1">
      <c r="A277" s="1"/>
      <c r="B277" s="16"/>
      <c r="C277" s="69" t="s">
        <v>18</v>
      </c>
      <c r="D277" s="53" t="s">
        <v>19</v>
      </c>
      <c r="E277" s="94">
        <v>310000</v>
      </c>
      <c r="F277" s="71"/>
      <c r="G277" s="71"/>
      <c r="H277" s="71"/>
      <c r="I277" s="55">
        <v>100000</v>
      </c>
      <c r="J277" s="30">
        <v>239100</v>
      </c>
      <c r="K277" s="31">
        <v>239100</v>
      </c>
      <c r="L277" s="31">
        <v>239100</v>
      </c>
      <c r="M277" s="31">
        <v>239100</v>
      </c>
      <c r="N277" s="31">
        <v>239100</v>
      </c>
      <c r="O277" s="8">
        <v>239100</v>
      </c>
    </row>
    <row r="278" spans="1:19" ht="23.25" hidden="1" customHeight="1">
      <c r="A278" s="1"/>
      <c r="B278" s="16"/>
      <c r="C278" s="69" t="s">
        <v>104</v>
      </c>
      <c r="D278" s="53" t="s">
        <v>105</v>
      </c>
      <c r="E278" s="94">
        <v>3000</v>
      </c>
      <c r="F278" s="71"/>
      <c r="G278" s="71"/>
      <c r="H278" s="71"/>
      <c r="I278" s="55">
        <v>3252</v>
      </c>
      <c r="J278" s="5">
        <f t="shared" si="15"/>
        <v>0</v>
      </c>
      <c r="P278" s="8">
        <v>27</v>
      </c>
      <c r="Q278" s="8">
        <f>P278*40*211</f>
        <v>227880</v>
      </c>
    </row>
    <row r="279" spans="1:19" ht="23.25" hidden="1" customHeight="1">
      <c r="A279" s="1"/>
      <c r="B279" s="16"/>
      <c r="C279" s="69" t="s">
        <v>106</v>
      </c>
      <c r="D279" s="53" t="s">
        <v>107</v>
      </c>
      <c r="E279" s="94">
        <v>200000</v>
      </c>
      <c r="F279" s="71"/>
      <c r="G279" s="71"/>
      <c r="H279" s="71"/>
      <c r="I279" s="55">
        <v>100000</v>
      </c>
      <c r="J279" s="5">
        <f t="shared" si="15"/>
        <v>68916.666666666672</v>
      </c>
      <c r="P279" s="8">
        <v>24</v>
      </c>
      <c r="Q279" s="8">
        <f>P279*18*169</f>
        <v>73008</v>
      </c>
      <c r="R279" s="7">
        <f>Q278+Q279</f>
        <v>300888</v>
      </c>
    </row>
    <row r="280" spans="1:19" ht="23.25" hidden="1" customHeight="1">
      <c r="A280" s="1"/>
      <c r="B280" s="16"/>
      <c r="C280" s="69" t="s">
        <v>20</v>
      </c>
      <c r="D280" s="53" t="s">
        <v>21</v>
      </c>
      <c r="E280" s="94">
        <v>80000</v>
      </c>
      <c r="F280" s="71"/>
      <c r="G280" s="71"/>
      <c r="H280" s="71"/>
      <c r="I280" s="55">
        <v>150000</v>
      </c>
      <c r="J280" s="30">
        <v>193660</v>
      </c>
      <c r="K280" s="31">
        <v>193660</v>
      </c>
      <c r="L280" s="31">
        <v>193660</v>
      </c>
      <c r="M280" s="31">
        <v>193660</v>
      </c>
      <c r="N280" s="31">
        <v>193660</v>
      </c>
      <c r="O280" s="8">
        <v>193660</v>
      </c>
    </row>
    <row r="281" spans="1:19" ht="23.25" hidden="1" customHeight="1">
      <c r="A281" s="1"/>
      <c r="B281" s="16"/>
      <c r="C281" s="69" t="s">
        <v>22</v>
      </c>
      <c r="D281" s="53" t="s">
        <v>108</v>
      </c>
      <c r="E281" s="94">
        <v>5000</v>
      </c>
      <c r="F281" s="71"/>
      <c r="G281" s="71"/>
      <c r="H281" s="71"/>
      <c r="I281" s="55">
        <v>5420</v>
      </c>
      <c r="J281" s="5">
        <f t="shared" si="15"/>
        <v>833.33333333333337</v>
      </c>
    </row>
    <row r="282" spans="1:19" ht="23.25" hidden="1" customHeight="1">
      <c r="A282" s="1"/>
      <c r="B282" s="16"/>
      <c r="C282" s="69" t="s">
        <v>24</v>
      </c>
      <c r="D282" s="53" t="s">
        <v>109</v>
      </c>
      <c r="E282" s="86"/>
      <c r="F282" s="71"/>
      <c r="G282" s="71"/>
      <c r="H282" s="71"/>
      <c r="I282" s="55">
        <v>0</v>
      </c>
      <c r="J282" s="5">
        <f t="shared" si="15"/>
        <v>0</v>
      </c>
    </row>
    <row r="283" spans="1:19" ht="23.25" hidden="1" customHeight="1">
      <c r="A283" s="1"/>
      <c r="B283" s="16"/>
      <c r="C283" s="69" t="s">
        <v>26</v>
      </c>
      <c r="D283" s="53" t="s">
        <v>110</v>
      </c>
      <c r="E283" s="94">
        <v>30000</v>
      </c>
      <c r="F283" s="71"/>
      <c r="G283" s="71"/>
      <c r="H283" s="71"/>
      <c r="I283" s="55">
        <v>32520</v>
      </c>
      <c r="J283" s="5">
        <f t="shared" si="15"/>
        <v>1250</v>
      </c>
    </row>
    <row r="284" spans="1:19" ht="23.25" hidden="1" customHeight="1">
      <c r="A284" s="1"/>
      <c r="B284" s="16"/>
      <c r="C284" s="69" t="s">
        <v>28</v>
      </c>
      <c r="D284" s="53" t="s">
        <v>29</v>
      </c>
      <c r="E284" s="94">
        <v>250000</v>
      </c>
      <c r="F284" s="71"/>
      <c r="G284" s="71"/>
      <c r="H284" s="71"/>
      <c r="I284" s="55">
        <v>271000</v>
      </c>
      <c r="J284" s="5">
        <f t="shared" si="15"/>
        <v>9583.3333333333339</v>
      </c>
    </row>
    <row r="285" spans="1:19" ht="23.25" hidden="1" customHeight="1">
      <c r="A285" s="1"/>
      <c r="B285" s="16"/>
      <c r="C285" s="69" t="s">
        <v>30</v>
      </c>
      <c r="D285" s="53" t="s">
        <v>31</v>
      </c>
      <c r="E285" s="86"/>
      <c r="F285" s="71"/>
      <c r="G285" s="71"/>
      <c r="H285" s="71"/>
      <c r="I285" s="55">
        <v>0</v>
      </c>
      <c r="J285" s="5">
        <f>E345/12</f>
        <v>73333.333333333328</v>
      </c>
    </row>
    <row r="286" spans="1:19" ht="23.25" hidden="1" customHeight="1">
      <c r="A286" s="1"/>
      <c r="B286" s="16"/>
      <c r="C286" s="69" t="s">
        <v>32</v>
      </c>
      <c r="D286" s="53" t="s">
        <v>111</v>
      </c>
      <c r="E286" s="86"/>
      <c r="F286" s="71"/>
      <c r="G286" s="71"/>
      <c r="H286" s="71"/>
      <c r="I286" s="55">
        <v>1200</v>
      </c>
      <c r="J286" s="5">
        <f>E346/12</f>
        <v>2750</v>
      </c>
    </row>
    <row r="287" spans="1:19" ht="23.25" hidden="1" customHeight="1">
      <c r="A287" s="1"/>
      <c r="B287" s="16"/>
      <c r="C287" s="69" t="s">
        <v>34</v>
      </c>
      <c r="D287" s="53" t="s">
        <v>35</v>
      </c>
      <c r="E287" s="86"/>
      <c r="F287" s="71"/>
      <c r="G287" s="71"/>
      <c r="H287" s="71"/>
      <c r="I287" s="55">
        <v>0</v>
      </c>
      <c r="J287" s="5"/>
    </row>
    <row r="288" spans="1:19" ht="23.25" hidden="1" customHeight="1">
      <c r="A288" s="1"/>
      <c r="B288" s="16"/>
      <c r="C288" s="65" t="s">
        <v>125</v>
      </c>
      <c r="D288" s="66" t="s">
        <v>128</v>
      </c>
      <c r="E288" s="71"/>
      <c r="F288" s="71"/>
      <c r="G288" s="71"/>
      <c r="H288" s="71"/>
      <c r="I288" s="68">
        <f>I289+I290+I291+I292+I293+I294+I295+I296+I297+I298+I299+I300+I301+I302</f>
        <v>4742356</v>
      </c>
      <c r="J288" s="5">
        <f t="shared" si="14"/>
        <v>0</v>
      </c>
    </row>
    <row r="289" spans="1:18" ht="23.25" hidden="1" customHeight="1">
      <c r="A289" s="1"/>
      <c r="B289" s="16"/>
      <c r="C289" s="69">
        <v>2111</v>
      </c>
      <c r="D289" s="53" t="s">
        <v>15</v>
      </c>
      <c r="E289" s="71"/>
      <c r="F289" s="71"/>
      <c r="G289" s="71"/>
      <c r="H289" s="71"/>
      <c r="I289" s="91">
        <f>5716483-3029430-R289</f>
        <v>2275296</v>
      </c>
      <c r="J289" s="5">
        <f t="shared" si="14"/>
        <v>0</v>
      </c>
      <c r="O289" s="29">
        <f>1830719+3885764</f>
        <v>5716483</v>
      </c>
      <c r="Q289" s="29">
        <f>I289/13*2</f>
        <v>350045.53846153844</v>
      </c>
      <c r="R289" s="7">
        <v>411757</v>
      </c>
    </row>
    <row r="290" spans="1:18" ht="23.25" hidden="1" customHeight="1">
      <c r="A290" s="1"/>
      <c r="B290" s="16"/>
      <c r="C290" s="69">
        <v>2120</v>
      </c>
      <c r="D290" s="53" t="s">
        <v>17</v>
      </c>
      <c r="E290" s="71"/>
      <c r="F290" s="71"/>
      <c r="G290" s="71"/>
      <c r="H290" s="71"/>
      <c r="I290" s="91">
        <f>1257627-666480-R290</f>
        <v>500560</v>
      </c>
      <c r="J290" s="5">
        <f t="shared" si="14"/>
        <v>0</v>
      </c>
      <c r="O290" s="29">
        <f>402758+854869</f>
        <v>1257627</v>
      </c>
      <c r="Q290" s="29">
        <f>I290/13*2</f>
        <v>77009.230769230766</v>
      </c>
      <c r="R290" s="7">
        <v>90587</v>
      </c>
    </row>
    <row r="291" spans="1:18" ht="23.25" hidden="1" customHeight="1">
      <c r="A291" s="1"/>
      <c r="B291" s="16"/>
      <c r="C291" s="69" t="s">
        <v>18</v>
      </c>
      <c r="D291" s="53" t="s">
        <v>19</v>
      </c>
      <c r="E291" s="71"/>
      <c r="F291" s="71"/>
      <c r="G291" s="71"/>
      <c r="H291" s="71"/>
      <c r="I291" s="55">
        <v>350000</v>
      </c>
      <c r="J291" s="5">
        <f t="shared" si="14"/>
        <v>0</v>
      </c>
      <c r="O291" s="8">
        <v>580000</v>
      </c>
    </row>
    <row r="292" spans="1:18" ht="23.25" hidden="1" customHeight="1">
      <c r="A292" s="1"/>
      <c r="B292" s="16"/>
      <c r="C292" s="69" t="s">
        <v>104</v>
      </c>
      <c r="D292" s="53" t="s">
        <v>105</v>
      </c>
      <c r="E292" s="71"/>
      <c r="F292" s="71"/>
      <c r="G292" s="71"/>
      <c r="H292" s="71"/>
      <c r="I292" s="55">
        <v>0</v>
      </c>
      <c r="J292" s="5">
        <f t="shared" si="14"/>
        <v>0</v>
      </c>
    </row>
    <row r="293" spans="1:18" ht="23.25" hidden="1" customHeight="1">
      <c r="A293" s="1"/>
      <c r="B293" s="16"/>
      <c r="C293" s="69" t="s">
        <v>106</v>
      </c>
      <c r="D293" s="53" t="s">
        <v>107</v>
      </c>
      <c r="E293" s="71"/>
      <c r="F293" s="71"/>
      <c r="G293" s="71"/>
      <c r="H293" s="71"/>
      <c r="I293" s="55">
        <v>252500</v>
      </c>
      <c r="J293" s="5">
        <f t="shared" si="14"/>
        <v>0</v>
      </c>
      <c r="P293" s="8">
        <v>83</v>
      </c>
      <c r="Q293" s="8">
        <f>P293*18*169*2</f>
        <v>504972</v>
      </c>
    </row>
    <row r="294" spans="1:18" ht="23.25" hidden="1" customHeight="1">
      <c r="A294" s="1"/>
      <c r="B294" s="16"/>
      <c r="C294" s="69" t="s">
        <v>20</v>
      </c>
      <c r="D294" s="53" t="s">
        <v>21</v>
      </c>
      <c r="E294" s="71"/>
      <c r="F294" s="71"/>
      <c r="G294" s="71"/>
      <c r="H294" s="71"/>
      <c r="I294" s="55">
        <v>300000</v>
      </c>
      <c r="J294" s="5">
        <f t="shared" si="14"/>
        <v>0</v>
      </c>
      <c r="O294" s="8">
        <v>405000</v>
      </c>
    </row>
    <row r="295" spans="1:18" ht="23.25" hidden="1" customHeight="1">
      <c r="A295" s="1"/>
      <c r="B295" s="16"/>
      <c r="C295" s="69" t="s">
        <v>22</v>
      </c>
      <c r="D295" s="53" t="s">
        <v>108</v>
      </c>
      <c r="E295" s="71"/>
      <c r="F295" s="71"/>
      <c r="G295" s="71"/>
      <c r="H295" s="71"/>
      <c r="I295" s="55">
        <v>5000</v>
      </c>
      <c r="J295" s="5">
        <f t="shared" si="14"/>
        <v>0</v>
      </c>
    </row>
    <row r="296" spans="1:18" ht="23.25" hidden="1" customHeight="1">
      <c r="A296" s="1"/>
      <c r="B296" s="16"/>
      <c r="C296" s="69" t="s">
        <v>24</v>
      </c>
      <c r="D296" s="53" t="s">
        <v>109</v>
      </c>
      <c r="E296" s="71"/>
      <c r="F296" s="71"/>
      <c r="G296" s="71"/>
      <c r="H296" s="71"/>
      <c r="I296" s="55">
        <v>850000</v>
      </c>
      <c r="J296" s="5">
        <f t="shared" si="14"/>
        <v>0</v>
      </c>
    </row>
    <row r="297" spans="1:18" ht="23.25" hidden="1" customHeight="1">
      <c r="A297" s="1"/>
      <c r="B297" s="16"/>
      <c r="C297" s="69" t="s">
        <v>26</v>
      </c>
      <c r="D297" s="53" t="s">
        <v>110</v>
      </c>
      <c r="E297" s="71"/>
      <c r="F297" s="71"/>
      <c r="G297" s="71"/>
      <c r="H297" s="71"/>
      <c r="I297" s="55">
        <v>0</v>
      </c>
      <c r="J297" s="5">
        <f t="shared" si="14"/>
        <v>0</v>
      </c>
    </row>
    <row r="298" spans="1:18" ht="23.25" hidden="1" customHeight="1">
      <c r="A298" s="1"/>
      <c r="B298" s="16"/>
      <c r="C298" s="69" t="s">
        <v>28</v>
      </c>
      <c r="D298" s="53" t="s">
        <v>29</v>
      </c>
      <c r="E298" s="71"/>
      <c r="F298" s="71"/>
      <c r="G298" s="71"/>
      <c r="H298" s="71"/>
      <c r="I298" s="55">
        <v>106000</v>
      </c>
      <c r="J298" s="5">
        <f t="shared" si="14"/>
        <v>0</v>
      </c>
    </row>
    <row r="299" spans="1:18" ht="23.25" hidden="1" customHeight="1">
      <c r="A299" s="1"/>
      <c r="B299" s="16"/>
      <c r="C299" s="69" t="s">
        <v>30</v>
      </c>
      <c r="D299" s="53" t="s">
        <v>31</v>
      </c>
      <c r="E299" s="71"/>
      <c r="F299" s="71"/>
      <c r="G299" s="71"/>
      <c r="H299" s="71"/>
      <c r="I299" s="55">
        <v>0</v>
      </c>
      <c r="J299" s="5">
        <f t="shared" si="14"/>
        <v>0</v>
      </c>
    </row>
    <row r="300" spans="1:18" ht="23.25" hidden="1" customHeight="1">
      <c r="A300" s="1"/>
      <c r="B300" s="16"/>
      <c r="C300" s="69" t="s">
        <v>32</v>
      </c>
      <c r="D300" s="53" t="s">
        <v>111</v>
      </c>
      <c r="E300" s="71"/>
      <c r="F300" s="71"/>
      <c r="G300" s="71"/>
      <c r="H300" s="71"/>
      <c r="I300" s="55">
        <v>30000</v>
      </c>
      <c r="J300" s="5">
        <f t="shared" si="14"/>
        <v>0</v>
      </c>
    </row>
    <row r="301" spans="1:18" ht="23.25" hidden="1" customHeight="1">
      <c r="A301" s="1"/>
      <c r="B301" s="16"/>
      <c r="C301" s="69" t="s">
        <v>34</v>
      </c>
      <c r="D301" s="53" t="s">
        <v>35</v>
      </c>
      <c r="E301" s="71"/>
      <c r="F301" s="71"/>
      <c r="G301" s="71"/>
      <c r="H301" s="71"/>
      <c r="I301" s="55">
        <v>13000</v>
      </c>
      <c r="J301" s="5">
        <f t="shared" si="14"/>
        <v>0</v>
      </c>
    </row>
    <row r="302" spans="1:18" ht="23.25" hidden="1" customHeight="1">
      <c r="A302" s="1"/>
      <c r="B302" s="16"/>
      <c r="C302" s="69">
        <v>3110</v>
      </c>
      <c r="D302" s="53" t="s">
        <v>38</v>
      </c>
      <c r="E302" s="92"/>
      <c r="F302" s="71"/>
      <c r="G302" s="71"/>
      <c r="H302" s="71"/>
      <c r="I302" s="55">
        <v>60000</v>
      </c>
      <c r="J302" s="5"/>
    </row>
    <row r="303" spans="1:18" ht="23.25" hidden="1" customHeight="1" thickBot="1">
      <c r="A303" s="1"/>
      <c r="B303" s="16"/>
      <c r="C303" s="65" t="s">
        <v>125</v>
      </c>
      <c r="D303" s="66" t="s">
        <v>129</v>
      </c>
      <c r="E303" s="71"/>
      <c r="F303" s="71"/>
      <c r="G303" s="71"/>
      <c r="H303" s="71"/>
      <c r="I303" s="68">
        <f>I304+I305+I306+I307+I308+I309+I310+I311+I312+I313+I314+I315+I316+I317</f>
        <v>18104554.707692306</v>
      </c>
      <c r="J303" s="5">
        <f t="shared" si="14"/>
        <v>0</v>
      </c>
    </row>
    <row r="304" spans="1:18" ht="23.25" hidden="1" customHeight="1">
      <c r="A304" s="1"/>
      <c r="B304" s="16"/>
      <c r="C304" s="69">
        <v>2111</v>
      </c>
      <c r="D304" s="53" t="s">
        <v>15</v>
      </c>
      <c r="E304" s="95">
        <v>20239000</v>
      </c>
      <c r="F304" s="71"/>
      <c r="G304" s="71"/>
      <c r="H304" s="71"/>
      <c r="I304" s="91">
        <f>28682626-17031016-R304</f>
        <v>9679799.0769230761</v>
      </c>
      <c r="J304" s="5">
        <f t="shared" si="14"/>
        <v>1686583.3333333333</v>
      </c>
      <c r="O304" s="29">
        <f>21687289+6995337</f>
        <v>28682626</v>
      </c>
      <c r="Q304" s="29">
        <f>I304/13*2.2</f>
        <v>1638119.8437869821</v>
      </c>
      <c r="R304" s="7">
        <v>1971810.923076923</v>
      </c>
    </row>
    <row r="305" spans="1:18" ht="23.25" hidden="1" customHeight="1">
      <c r="A305" s="1"/>
      <c r="B305" s="16"/>
      <c r="C305" s="69">
        <v>2120</v>
      </c>
      <c r="D305" s="53" t="s">
        <v>17</v>
      </c>
      <c r="E305" s="96">
        <v>4452600</v>
      </c>
      <c r="F305" s="71"/>
      <c r="G305" s="71"/>
      <c r="H305" s="71"/>
      <c r="I305" s="91">
        <f>6310178-3746824-R305</f>
        <v>2129555.6307692309</v>
      </c>
      <c r="J305" s="5">
        <f t="shared" si="14"/>
        <v>371050</v>
      </c>
      <c r="O305" s="29">
        <f>4771204+1538974</f>
        <v>6310178</v>
      </c>
      <c r="Q305" s="29">
        <f>I305/13*2.2</f>
        <v>360386.33751479298</v>
      </c>
      <c r="R305" s="7">
        <v>433798.36923076928</v>
      </c>
    </row>
    <row r="306" spans="1:18" ht="23.25" hidden="1" customHeight="1">
      <c r="A306" s="1"/>
      <c r="B306" s="16"/>
      <c r="C306" s="69" t="s">
        <v>18</v>
      </c>
      <c r="D306" s="53" t="s">
        <v>19</v>
      </c>
      <c r="E306" s="97">
        <v>3130000</v>
      </c>
      <c r="F306" s="71"/>
      <c r="G306" s="71"/>
      <c r="H306" s="71"/>
      <c r="I306" s="55">
        <v>350000</v>
      </c>
      <c r="J306" s="5">
        <f t="shared" si="14"/>
        <v>260833.33333333334</v>
      </c>
      <c r="O306" s="8">
        <v>1000000</v>
      </c>
    </row>
    <row r="307" spans="1:18" ht="23.25" hidden="1" customHeight="1">
      <c r="A307" s="1"/>
      <c r="B307" s="16"/>
      <c r="C307" s="69" t="s">
        <v>104</v>
      </c>
      <c r="D307" s="53" t="s">
        <v>105</v>
      </c>
      <c r="E307" s="97">
        <v>0</v>
      </c>
      <c r="F307" s="71"/>
      <c r="G307" s="71"/>
      <c r="H307" s="71"/>
      <c r="I307" s="55">
        <v>0</v>
      </c>
      <c r="J307" s="5">
        <f t="shared" si="14"/>
        <v>0</v>
      </c>
    </row>
    <row r="308" spans="1:18" ht="23.25" hidden="1" customHeight="1">
      <c r="A308" s="1"/>
      <c r="B308" s="16"/>
      <c r="C308" s="69" t="s">
        <v>106</v>
      </c>
      <c r="D308" s="53" t="s">
        <v>107</v>
      </c>
      <c r="E308" s="96">
        <v>1348000</v>
      </c>
      <c r="F308" s="71"/>
      <c r="G308" s="71"/>
      <c r="H308" s="71"/>
      <c r="I308" s="55">
        <v>1825200</v>
      </c>
      <c r="J308" s="5">
        <f t="shared" si="14"/>
        <v>112333.33333333333</v>
      </c>
      <c r="P308" s="8">
        <v>600</v>
      </c>
      <c r="Q308" s="8">
        <f>P308*18*169</f>
        <v>1825200</v>
      </c>
    </row>
    <row r="309" spans="1:18" ht="23.25" hidden="1" customHeight="1">
      <c r="A309" s="1"/>
      <c r="B309" s="16"/>
      <c r="C309" s="69" t="s">
        <v>20</v>
      </c>
      <c r="D309" s="53" t="s">
        <v>21</v>
      </c>
      <c r="E309" s="98">
        <v>3500000</v>
      </c>
      <c r="F309" s="71"/>
      <c r="G309" s="71"/>
      <c r="H309" s="71"/>
      <c r="I309" s="55">
        <v>300000</v>
      </c>
      <c r="J309" s="5">
        <f t="shared" si="14"/>
        <v>291666.66666666669</v>
      </c>
      <c r="O309" s="8">
        <v>1000000</v>
      </c>
    </row>
    <row r="310" spans="1:18" ht="23.25" hidden="1" customHeight="1">
      <c r="A310" s="1"/>
      <c r="B310" s="16"/>
      <c r="C310" s="69" t="s">
        <v>22</v>
      </c>
      <c r="D310" s="53" t="s">
        <v>108</v>
      </c>
      <c r="E310" s="98">
        <v>20000</v>
      </c>
      <c r="F310" s="71"/>
      <c r="G310" s="71"/>
      <c r="H310" s="71"/>
      <c r="I310" s="55">
        <v>20000</v>
      </c>
      <c r="J310" s="5">
        <f t="shared" si="14"/>
        <v>1666.6666666666667</v>
      </c>
    </row>
    <row r="311" spans="1:18" ht="23.25" hidden="1" customHeight="1">
      <c r="A311" s="1"/>
      <c r="B311" s="16"/>
      <c r="C311" s="69" t="s">
        <v>24</v>
      </c>
      <c r="D311" s="53" t="s">
        <v>109</v>
      </c>
      <c r="E311" s="98">
        <v>2700000</v>
      </c>
      <c r="F311" s="71"/>
      <c r="G311" s="71"/>
      <c r="H311" s="71"/>
      <c r="I311" s="55">
        <v>3000000</v>
      </c>
      <c r="J311" s="5">
        <f t="shared" si="14"/>
        <v>225000</v>
      </c>
    </row>
    <row r="312" spans="1:18" ht="23.25" hidden="1" customHeight="1">
      <c r="A312" s="1"/>
      <c r="B312" s="16"/>
      <c r="C312" s="69" t="s">
        <v>26</v>
      </c>
      <c r="D312" s="53" t="s">
        <v>110</v>
      </c>
      <c r="E312" s="96">
        <v>80000</v>
      </c>
      <c r="F312" s="71"/>
      <c r="G312" s="71"/>
      <c r="H312" s="71"/>
      <c r="I312" s="55">
        <v>100000</v>
      </c>
      <c r="J312" s="5">
        <f t="shared" si="14"/>
        <v>6666.666666666667</v>
      </c>
    </row>
    <row r="313" spans="1:18" ht="23.25" hidden="1" customHeight="1">
      <c r="A313" s="1"/>
      <c r="B313" s="16"/>
      <c r="C313" s="69" t="s">
        <v>28</v>
      </c>
      <c r="D313" s="53" t="s">
        <v>29</v>
      </c>
      <c r="E313" s="96">
        <v>500000</v>
      </c>
      <c r="F313" s="71"/>
      <c r="G313" s="71"/>
      <c r="H313" s="71"/>
      <c r="I313" s="55">
        <v>550000</v>
      </c>
      <c r="J313" s="5">
        <f t="shared" si="14"/>
        <v>41666.666666666664</v>
      </c>
    </row>
    <row r="314" spans="1:18" ht="23.25" hidden="1" customHeight="1">
      <c r="A314" s="1"/>
      <c r="B314" s="16"/>
      <c r="C314" s="69" t="s">
        <v>30</v>
      </c>
      <c r="D314" s="53" t="s">
        <v>31</v>
      </c>
      <c r="E314" s="71"/>
      <c r="F314" s="71"/>
      <c r="G314" s="71"/>
      <c r="H314" s="71"/>
      <c r="I314" s="55">
        <v>0</v>
      </c>
      <c r="J314" s="5">
        <f t="shared" si="14"/>
        <v>0</v>
      </c>
    </row>
    <row r="315" spans="1:18" ht="23.25" hidden="1" customHeight="1">
      <c r="A315" s="1"/>
      <c r="B315" s="16"/>
      <c r="C315" s="69" t="s">
        <v>32</v>
      </c>
      <c r="D315" s="53" t="s">
        <v>111</v>
      </c>
      <c r="E315" s="96">
        <v>50000</v>
      </c>
      <c r="F315" s="71"/>
      <c r="G315" s="71"/>
      <c r="H315" s="71"/>
      <c r="I315" s="55">
        <v>55000</v>
      </c>
      <c r="J315" s="5">
        <f t="shared" si="14"/>
        <v>4166.666666666667</v>
      </c>
    </row>
    <row r="316" spans="1:18" ht="23.25" hidden="1" customHeight="1" thickBot="1">
      <c r="A316" s="1"/>
      <c r="B316" s="16"/>
      <c r="C316" s="69" t="s">
        <v>34</v>
      </c>
      <c r="D316" s="53" t="s">
        <v>35</v>
      </c>
      <c r="E316" s="99">
        <v>28000</v>
      </c>
      <c r="F316" s="71"/>
      <c r="G316" s="71"/>
      <c r="H316" s="71"/>
      <c r="I316" s="55">
        <v>35000</v>
      </c>
      <c r="J316" s="5">
        <f t="shared" si="14"/>
        <v>2333.3333333333335</v>
      </c>
    </row>
    <row r="317" spans="1:18" ht="23.25" hidden="1" customHeight="1">
      <c r="A317" s="1"/>
      <c r="B317" s="16"/>
      <c r="C317" s="69">
        <v>3110</v>
      </c>
      <c r="D317" s="53" t="s">
        <v>38</v>
      </c>
      <c r="E317" s="92"/>
      <c r="F317" s="71"/>
      <c r="G317" s="71"/>
      <c r="H317" s="71"/>
      <c r="I317" s="55">
        <v>60000</v>
      </c>
      <c r="J317" s="5"/>
    </row>
    <row r="318" spans="1:18" ht="23.25" hidden="1" customHeight="1">
      <c r="A318" s="1"/>
      <c r="B318" s="16"/>
      <c r="C318" s="65" t="s">
        <v>125</v>
      </c>
      <c r="D318" s="66" t="s">
        <v>130</v>
      </c>
      <c r="E318" s="71"/>
      <c r="F318" s="71"/>
      <c r="G318" s="71"/>
      <c r="H318" s="71"/>
      <c r="I318" s="68">
        <f>I319+I320+I321+I322+I323+I324+I325+I326+I327+I328+I329+I330+I331+I332</f>
        <v>9204209</v>
      </c>
      <c r="J318" s="5">
        <f t="shared" si="14"/>
        <v>0</v>
      </c>
    </row>
    <row r="319" spans="1:18" ht="23.25" hidden="1" customHeight="1">
      <c r="A319" s="1"/>
      <c r="B319" s="16"/>
      <c r="C319" s="69">
        <v>2111</v>
      </c>
      <c r="D319" s="53" t="s">
        <v>15</v>
      </c>
      <c r="E319" s="100">
        <v>26661000</v>
      </c>
      <c r="F319" s="71"/>
      <c r="G319" s="71"/>
      <c r="H319" s="71"/>
      <c r="I319" s="91">
        <f>29513937-24349108-R319</f>
        <v>4379023</v>
      </c>
      <c r="J319" s="5">
        <f t="shared" si="14"/>
        <v>2221750</v>
      </c>
      <c r="O319" s="29">
        <f>24951457+4562480</f>
        <v>29513937</v>
      </c>
      <c r="Q319" s="29">
        <f>I319/13*2</f>
        <v>673695.84615384613</v>
      </c>
      <c r="R319" s="7">
        <v>785806</v>
      </c>
    </row>
    <row r="320" spans="1:18" ht="23.25" hidden="1" customHeight="1">
      <c r="A320" s="1"/>
      <c r="B320" s="16"/>
      <c r="C320" s="69">
        <v>2120</v>
      </c>
      <c r="D320" s="53" t="s">
        <v>17</v>
      </c>
      <c r="E320" s="96">
        <v>5865500</v>
      </c>
      <c r="F320" s="71"/>
      <c r="G320" s="71"/>
      <c r="H320" s="71"/>
      <c r="I320" s="91">
        <f>6493067-5356804-R320</f>
        <v>963386</v>
      </c>
      <c r="J320" s="5">
        <f t="shared" si="14"/>
        <v>488791.66666666669</v>
      </c>
      <c r="O320" s="29">
        <f>5489321+1003746</f>
        <v>6493067</v>
      </c>
      <c r="Q320" s="29">
        <f>I320/13*2</f>
        <v>148213.23076923078</v>
      </c>
      <c r="R320" s="7">
        <v>172877</v>
      </c>
    </row>
    <row r="321" spans="1:18" ht="23.25" hidden="1" customHeight="1">
      <c r="A321" s="1"/>
      <c r="B321" s="16"/>
      <c r="C321" s="69" t="s">
        <v>18</v>
      </c>
      <c r="D321" s="53" t="s">
        <v>19</v>
      </c>
      <c r="E321" s="97">
        <v>2910000</v>
      </c>
      <c r="F321" s="71"/>
      <c r="G321" s="71"/>
      <c r="H321" s="71"/>
      <c r="I321" s="55">
        <v>350000</v>
      </c>
      <c r="J321" s="5">
        <f t="shared" si="14"/>
        <v>242500</v>
      </c>
      <c r="O321" s="8">
        <v>1000000</v>
      </c>
    </row>
    <row r="322" spans="1:18" ht="23.25" hidden="1" customHeight="1">
      <c r="A322" s="1"/>
      <c r="B322" s="16"/>
      <c r="C322" s="69" t="s">
        <v>104</v>
      </c>
      <c r="D322" s="53" t="s">
        <v>105</v>
      </c>
      <c r="E322" s="97"/>
      <c r="F322" s="71"/>
      <c r="G322" s="71"/>
      <c r="H322" s="71"/>
      <c r="I322" s="55">
        <v>0</v>
      </c>
      <c r="J322" s="5">
        <f t="shared" si="14"/>
        <v>0</v>
      </c>
    </row>
    <row r="323" spans="1:18" ht="23.25" hidden="1" customHeight="1">
      <c r="A323" s="1"/>
      <c r="B323" s="16"/>
      <c r="C323" s="69" t="s">
        <v>106</v>
      </c>
      <c r="D323" s="53" t="s">
        <v>107</v>
      </c>
      <c r="E323" s="96">
        <v>1255000</v>
      </c>
      <c r="F323" s="71"/>
      <c r="G323" s="71"/>
      <c r="H323" s="71"/>
      <c r="I323" s="55">
        <v>1651800</v>
      </c>
      <c r="J323" s="5">
        <f t="shared" si="14"/>
        <v>104583.33333333333</v>
      </c>
      <c r="P323" s="8">
        <v>543</v>
      </c>
      <c r="Q323" s="8">
        <f>P323*18*169</f>
        <v>1651806</v>
      </c>
    </row>
    <row r="324" spans="1:18" ht="23.25" hidden="1" customHeight="1">
      <c r="A324" s="1"/>
      <c r="B324" s="16"/>
      <c r="C324" s="69" t="s">
        <v>20</v>
      </c>
      <c r="D324" s="53" t="s">
        <v>21</v>
      </c>
      <c r="E324" s="98">
        <v>5940000</v>
      </c>
      <c r="F324" s="71"/>
      <c r="G324" s="71"/>
      <c r="H324" s="71"/>
      <c r="I324" s="55">
        <v>300000</v>
      </c>
      <c r="J324" s="5">
        <f t="shared" si="14"/>
        <v>495000</v>
      </c>
      <c r="O324" s="8">
        <v>1000000</v>
      </c>
    </row>
    <row r="325" spans="1:18" ht="23.25" hidden="1" customHeight="1">
      <c r="A325" s="1"/>
      <c r="B325" s="16"/>
      <c r="C325" s="69" t="s">
        <v>22</v>
      </c>
      <c r="D325" s="53" t="s">
        <v>108</v>
      </c>
      <c r="E325" s="98">
        <v>30000</v>
      </c>
      <c r="F325" s="71"/>
      <c r="G325" s="71"/>
      <c r="H325" s="71"/>
      <c r="I325" s="55">
        <v>30000</v>
      </c>
      <c r="J325" s="5">
        <f t="shared" si="14"/>
        <v>2500</v>
      </c>
    </row>
    <row r="326" spans="1:18" ht="23.25" hidden="1" customHeight="1">
      <c r="A326" s="1"/>
      <c r="B326" s="16"/>
      <c r="C326" s="69" t="s">
        <v>24</v>
      </c>
      <c r="D326" s="53" t="s">
        <v>109</v>
      </c>
      <c r="E326" s="98">
        <v>750000</v>
      </c>
      <c r="F326" s="71"/>
      <c r="G326" s="71"/>
      <c r="H326" s="71"/>
      <c r="I326" s="55">
        <v>900000</v>
      </c>
      <c r="J326" s="5">
        <f t="shared" si="14"/>
        <v>62500</v>
      </c>
    </row>
    <row r="327" spans="1:18" ht="23.25" hidden="1" customHeight="1">
      <c r="A327" s="1"/>
      <c r="B327" s="16"/>
      <c r="C327" s="69" t="s">
        <v>26</v>
      </c>
      <c r="D327" s="53" t="s">
        <v>110</v>
      </c>
      <c r="E327" s="96">
        <v>120000</v>
      </c>
      <c r="F327" s="71"/>
      <c r="G327" s="71"/>
      <c r="H327" s="71"/>
      <c r="I327" s="55">
        <v>140000</v>
      </c>
      <c r="J327" s="5">
        <f t="shared" si="14"/>
        <v>10000</v>
      </c>
    </row>
    <row r="328" spans="1:18" ht="23.25" hidden="1" customHeight="1">
      <c r="A328" s="1"/>
      <c r="B328" s="16"/>
      <c r="C328" s="69" t="s">
        <v>28</v>
      </c>
      <c r="D328" s="53" t="s">
        <v>29</v>
      </c>
      <c r="E328" s="96">
        <v>300000</v>
      </c>
      <c r="F328" s="71"/>
      <c r="G328" s="71"/>
      <c r="H328" s="71"/>
      <c r="I328" s="55">
        <v>350000</v>
      </c>
      <c r="J328" s="5">
        <f t="shared" si="14"/>
        <v>25000</v>
      </c>
    </row>
    <row r="329" spans="1:18" ht="23.25" hidden="1" customHeight="1">
      <c r="A329" s="1"/>
      <c r="B329" s="16"/>
      <c r="C329" s="69" t="s">
        <v>30</v>
      </c>
      <c r="D329" s="53" t="s">
        <v>31</v>
      </c>
      <c r="E329" s="71"/>
      <c r="F329" s="71"/>
      <c r="G329" s="71"/>
      <c r="H329" s="71"/>
      <c r="I329" s="55">
        <v>0</v>
      </c>
      <c r="J329" s="5">
        <f t="shared" si="14"/>
        <v>0</v>
      </c>
    </row>
    <row r="330" spans="1:18" ht="23.25" hidden="1" customHeight="1">
      <c r="A330" s="1"/>
      <c r="B330" s="16"/>
      <c r="C330" s="69" t="s">
        <v>32</v>
      </c>
      <c r="D330" s="53" t="s">
        <v>111</v>
      </c>
      <c r="E330" s="96">
        <v>40000</v>
      </c>
      <c r="F330" s="71"/>
      <c r="G330" s="71"/>
      <c r="H330" s="71"/>
      <c r="I330" s="55">
        <v>50000</v>
      </c>
      <c r="J330" s="5">
        <f t="shared" si="14"/>
        <v>3333.3333333333335</v>
      </c>
    </row>
    <row r="331" spans="1:18" ht="23.25" hidden="1" customHeight="1">
      <c r="A331" s="1"/>
      <c r="B331" s="16"/>
      <c r="C331" s="69" t="s">
        <v>34</v>
      </c>
      <c r="D331" s="53" t="s">
        <v>35</v>
      </c>
      <c r="E331" s="101">
        <v>30000</v>
      </c>
      <c r="F331" s="71"/>
      <c r="G331" s="71"/>
      <c r="H331" s="71"/>
      <c r="I331" s="55">
        <v>30000</v>
      </c>
      <c r="J331" s="5">
        <f t="shared" si="14"/>
        <v>2500</v>
      </c>
    </row>
    <row r="332" spans="1:18" ht="23.25" hidden="1" customHeight="1">
      <c r="A332" s="1"/>
      <c r="B332" s="16"/>
      <c r="C332" s="69">
        <v>3110</v>
      </c>
      <c r="D332" s="53" t="s">
        <v>38</v>
      </c>
      <c r="E332" s="92"/>
      <c r="F332" s="71"/>
      <c r="G332" s="71"/>
      <c r="H332" s="71"/>
      <c r="I332" s="55">
        <v>60000</v>
      </c>
      <c r="J332" s="5"/>
    </row>
    <row r="333" spans="1:18" ht="27.75" hidden="1" customHeight="1" thickBot="1">
      <c r="A333" s="1"/>
      <c r="B333" s="16"/>
      <c r="C333" s="65" t="s">
        <v>125</v>
      </c>
      <c r="D333" s="66" t="s">
        <v>131</v>
      </c>
      <c r="E333" s="71"/>
      <c r="F333" s="71"/>
      <c r="G333" s="71"/>
      <c r="H333" s="71"/>
      <c r="I333" s="68">
        <f>I334+I335+I336+I337+I338+I339+I340+I341+I342+I343+I344+I345+I346+I347</f>
        <v>10839773</v>
      </c>
      <c r="J333" s="5">
        <f>E333/12</f>
        <v>0</v>
      </c>
    </row>
    <row r="334" spans="1:18" ht="23.25" hidden="1" customHeight="1">
      <c r="A334" s="1"/>
      <c r="B334" s="16"/>
      <c r="C334" s="69">
        <v>2111</v>
      </c>
      <c r="D334" s="53" t="s">
        <v>15</v>
      </c>
      <c r="E334" s="102">
        <v>14860000</v>
      </c>
      <c r="F334" s="71"/>
      <c r="G334" s="71"/>
      <c r="H334" s="71"/>
      <c r="I334" s="91">
        <f>18832514-11327011-R334</f>
        <v>6354896</v>
      </c>
      <c r="J334" s="5"/>
      <c r="O334" s="29">
        <f>4330271+14502243</f>
        <v>18832514</v>
      </c>
      <c r="Q334" s="29">
        <f>I334/13*2</f>
        <v>977676.30769230775</v>
      </c>
      <c r="R334" s="7">
        <v>1150607</v>
      </c>
    </row>
    <row r="335" spans="1:18" ht="23.25" hidden="1" customHeight="1">
      <c r="A335" s="1"/>
      <c r="B335" s="16"/>
      <c r="C335" s="69">
        <v>2120</v>
      </c>
      <c r="D335" s="53" t="s">
        <v>17</v>
      </c>
      <c r="E335" s="97">
        <v>3269300</v>
      </c>
      <c r="F335" s="71"/>
      <c r="G335" s="71"/>
      <c r="H335" s="71"/>
      <c r="I335" s="91">
        <f>4143153-2491942-R335</f>
        <v>1398077</v>
      </c>
      <c r="J335" s="5"/>
      <c r="O335" s="29">
        <f>3190493+952660</f>
        <v>4143153</v>
      </c>
      <c r="Q335" s="29">
        <f>I335/13*2</f>
        <v>215088.76923076922</v>
      </c>
      <c r="R335" s="7">
        <v>253134</v>
      </c>
    </row>
    <row r="336" spans="1:18" ht="23.25" hidden="1" customHeight="1">
      <c r="A336" s="1"/>
      <c r="B336" s="16"/>
      <c r="C336" s="69" t="s">
        <v>18</v>
      </c>
      <c r="D336" s="53" t="s">
        <v>19</v>
      </c>
      <c r="E336" s="97">
        <v>2850000</v>
      </c>
      <c r="F336" s="71"/>
      <c r="G336" s="71"/>
      <c r="H336" s="71"/>
      <c r="I336" s="55">
        <v>350000</v>
      </c>
      <c r="J336" s="5"/>
      <c r="O336" s="8">
        <v>1000000</v>
      </c>
    </row>
    <row r="337" spans="1:18" ht="23.25" hidden="1" customHeight="1">
      <c r="A337" s="1"/>
      <c r="B337" s="16"/>
      <c r="C337" s="69" t="s">
        <v>104</v>
      </c>
      <c r="D337" s="53" t="s">
        <v>105</v>
      </c>
      <c r="E337" s="97"/>
      <c r="F337" s="71"/>
      <c r="G337" s="71"/>
      <c r="H337" s="71"/>
      <c r="I337" s="55">
        <v>0</v>
      </c>
      <c r="J337" s="5"/>
    </row>
    <row r="338" spans="1:18" ht="23.25" hidden="1" customHeight="1">
      <c r="A338" s="1"/>
      <c r="B338" s="16"/>
      <c r="C338" s="69" t="s">
        <v>106</v>
      </c>
      <c r="D338" s="53" t="s">
        <v>107</v>
      </c>
      <c r="E338" s="96">
        <v>827000</v>
      </c>
      <c r="F338" s="71"/>
      <c r="G338" s="71"/>
      <c r="H338" s="71"/>
      <c r="I338" s="55">
        <v>1216800</v>
      </c>
      <c r="J338" s="5"/>
      <c r="O338" s="8">
        <v>1260000</v>
      </c>
      <c r="P338" s="8">
        <v>400</v>
      </c>
      <c r="Q338" s="8">
        <f>P338*18*169</f>
        <v>1216800</v>
      </c>
    </row>
    <row r="339" spans="1:18" ht="23.25" hidden="1" customHeight="1">
      <c r="A339" s="1"/>
      <c r="B339" s="16"/>
      <c r="C339" s="69" t="s">
        <v>20</v>
      </c>
      <c r="D339" s="53" t="s">
        <v>21</v>
      </c>
      <c r="E339" s="97">
        <v>2590000</v>
      </c>
      <c r="F339" s="71"/>
      <c r="G339" s="71"/>
      <c r="H339" s="71"/>
      <c r="I339" s="55">
        <v>300000</v>
      </c>
      <c r="J339" s="5"/>
      <c r="O339" s="8">
        <v>1000000</v>
      </c>
    </row>
    <row r="340" spans="1:18" ht="23.25" hidden="1" customHeight="1">
      <c r="A340" s="1"/>
      <c r="B340" s="16"/>
      <c r="C340" s="69" t="s">
        <v>22</v>
      </c>
      <c r="D340" s="53" t="s">
        <v>108</v>
      </c>
      <c r="E340" s="97">
        <v>10000</v>
      </c>
      <c r="F340" s="71"/>
      <c r="G340" s="71"/>
      <c r="H340" s="71"/>
      <c r="I340" s="55">
        <v>10000</v>
      </c>
      <c r="J340" s="5"/>
    </row>
    <row r="341" spans="1:18" ht="23.25" hidden="1" customHeight="1">
      <c r="A341" s="1"/>
      <c r="B341" s="16"/>
      <c r="C341" s="69" t="s">
        <v>24</v>
      </c>
      <c r="D341" s="53" t="s">
        <v>109</v>
      </c>
      <c r="E341" s="71"/>
      <c r="F341" s="71"/>
      <c r="G341" s="71"/>
      <c r="H341" s="71"/>
      <c r="I341" s="55">
        <v>0</v>
      </c>
      <c r="J341" s="5"/>
    </row>
    <row r="342" spans="1:18" ht="23.25" hidden="1" customHeight="1">
      <c r="A342" s="1"/>
      <c r="B342" s="16"/>
      <c r="C342" s="69" t="s">
        <v>26</v>
      </c>
      <c r="D342" s="53" t="s">
        <v>110</v>
      </c>
      <c r="E342" s="96">
        <v>15000</v>
      </c>
      <c r="F342" s="71"/>
      <c r="G342" s="71"/>
      <c r="H342" s="71"/>
      <c r="I342" s="55">
        <v>16500</v>
      </c>
      <c r="J342" s="5"/>
    </row>
    <row r="343" spans="1:18" ht="23.25" hidden="1" customHeight="1">
      <c r="A343" s="1"/>
      <c r="B343" s="16"/>
      <c r="C343" s="69" t="s">
        <v>28</v>
      </c>
      <c r="D343" s="53" t="s">
        <v>29</v>
      </c>
      <c r="E343" s="96">
        <v>115000</v>
      </c>
      <c r="F343" s="71"/>
      <c r="G343" s="71"/>
      <c r="H343" s="71"/>
      <c r="I343" s="55">
        <v>126500</v>
      </c>
      <c r="J343" s="5"/>
    </row>
    <row r="344" spans="1:18" ht="23.25" hidden="1" customHeight="1">
      <c r="A344" s="1"/>
      <c r="B344" s="16"/>
      <c r="C344" s="69" t="s">
        <v>30</v>
      </c>
      <c r="D344" s="53" t="s">
        <v>31</v>
      </c>
      <c r="E344" s="86"/>
      <c r="F344" s="71"/>
      <c r="G344" s="71"/>
      <c r="H344" s="71"/>
      <c r="I344" s="55">
        <v>0</v>
      </c>
      <c r="J344" s="5"/>
    </row>
    <row r="345" spans="1:18" ht="23.25" hidden="1" customHeight="1">
      <c r="A345" s="1"/>
      <c r="B345" s="16"/>
      <c r="C345" s="69" t="s">
        <v>32</v>
      </c>
      <c r="D345" s="53" t="s">
        <v>111</v>
      </c>
      <c r="E345" s="96">
        <v>880000</v>
      </c>
      <c r="F345" s="71"/>
      <c r="G345" s="71"/>
      <c r="H345" s="71"/>
      <c r="I345" s="55">
        <v>968000</v>
      </c>
      <c r="J345" s="5"/>
    </row>
    <row r="346" spans="1:18" ht="27" hidden="1" customHeight="1" thickBot="1">
      <c r="A346" s="1"/>
      <c r="B346" s="16"/>
      <c r="C346" s="69" t="s">
        <v>34</v>
      </c>
      <c r="D346" s="53" t="s">
        <v>35</v>
      </c>
      <c r="E346" s="99">
        <v>33000</v>
      </c>
      <c r="F346" s="71"/>
      <c r="G346" s="71"/>
      <c r="H346" s="71"/>
      <c r="I346" s="55">
        <v>39000</v>
      </c>
      <c r="J346" s="5"/>
      <c r="O346" s="8">
        <v>39000</v>
      </c>
    </row>
    <row r="347" spans="1:18" ht="27" hidden="1" customHeight="1">
      <c r="A347" s="1"/>
      <c r="B347" s="16"/>
      <c r="C347" s="69">
        <v>3110</v>
      </c>
      <c r="D347" s="53" t="s">
        <v>38</v>
      </c>
      <c r="E347" s="92"/>
      <c r="F347" s="71"/>
      <c r="G347" s="71"/>
      <c r="H347" s="71"/>
      <c r="I347" s="55">
        <v>60000</v>
      </c>
      <c r="J347" s="5"/>
    </row>
    <row r="348" spans="1:18" ht="23.25" hidden="1" customHeight="1">
      <c r="A348" s="1"/>
      <c r="B348" s="16"/>
      <c r="C348" s="65" t="s">
        <v>125</v>
      </c>
      <c r="D348" s="66" t="s">
        <v>132</v>
      </c>
      <c r="E348" s="71"/>
      <c r="F348" s="71"/>
      <c r="G348" s="71"/>
      <c r="H348" s="71"/>
      <c r="I348" s="68">
        <f>I349+I350+I351+I352+I353+I354+I355+I356+I357+I358+I359+I360+I361+I362</f>
        <v>10762745</v>
      </c>
      <c r="J348" s="5">
        <f t="shared" ref="J348:J413" si="16">E348/12</f>
        <v>0</v>
      </c>
    </row>
    <row r="349" spans="1:18" ht="23.25" hidden="1" customHeight="1">
      <c r="A349" s="1"/>
      <c r="B349" s="16"/>
      <c r="C349" s="69">
        <v>2111</v>
      </c>
      <c r="D349" s="53" t="s">
        <v>15</v>
      </c>
      <c r="E349" s="100">
        <v>14688000</v>
      </c>
      <c r="F349" s="71"/>
      <c r="G349" s="71"/>
      <c r="H349" s="71"/>
      <c r="I349" s="91">
        <f>18723577-11494370-R349</f>
        <v>6121168</v>
      </c>
      <c r="J349" s="5">
        <f t="shared" si="16"/>
        <v>1224000</v>
      </c>
      <c r="O349" s="29">
        <f>14655720+4067857</f>
        <v>18723577</v>
      </c>
      <c r="Q349" s="29">
        <f>I349/13*2</f>
        <v>941718.15384615387</v>
      </c>
      <c r="R349" s="7">
        <v>1108039</v>
      </c>
    </row>
    <row r="350" spans="1:18" ht="23.25" hidden="1" customHeight="1">
      <c r="A350" s="1"/>
      <c r="B350" s="16"/>
      <c r="C350" s="69">
        <v>2120</v>
      </c>
      <c r="D350" s="53" t="s">
        <v>17</v>
      </c>
      <c r="E350" s="96">
        <v>3231500</v>
      </c>
      <c r="F350" s="71"/>
      <c r="G350" s="71"/>
      <c r="H350" s="71"/>
      <c r="I350" s="91">
        <f>4119187-2528761-R350</f>
        <v>1346657</v>
      </c>
      <c r="J350" s="5">
        <f t="shared" si="16"/>
        <v>269291.66666666669</v>
      </c>
      <c r="O350" s="29">
        <f>3224258+894929</f>
        <v>4119187</v>
      </c>
      <c r="Q350" s="29">
        <f>I350/13*2</f>
        <v>207178</v>
      </c>
      <c r="R350" s="7">
        <v>243769</v>
      </c>
    </row>
    <row r="351" spans="1:18" ht="23.25" hidden="1" customHeight="1">
      <c r="A351" s="1"/>
      <c r="B351" s="16"/>
      <c r="C351" s="69" t="s">
        <v>18</v>
      </c>
      <c r="D351" s="53" t="s">
        <v>19</v>
      </c>
      <c r="E351" s="97">
        <v>2730000</v>
      </c>
      <c r="F351" s="71"/>
      <c r="G351" s="71"/>
      <c r="H351" s="71"/>
      <c r="I351" s="55">
        <v>350000</v>
      </c>
      <c r="J351" s="5">
        <f t="shared" si="16"/>
        <v>227500</v>
      </c>
      <c r="O351" s="8">
        <v>1000000</v>
      </c>
    </row>
    <row r="352" spans="1:18" ht="23.25" hidden="1" customHeight="1">
      <c r="A352" s="1"/>
      <c r="B352" s="16"/>
      <c r="C352" s="69" t="s">
        <v>104</v>
      </c>
      <c r="D352" s="53" t="s">
        <v>105</v>
      </c>
      <c r="E352" s="97">
        <v>0</v>
      </c>
      <c r="F352" s="71"/>
      <c r="G352" s="71"/>
      <c r="H352" s="71"/>
      <c r="I352" s="55">
        <v>0</v>
      </c>
      <c r="J352" s="5">
        <f t="shared" si="16"/>
        <v>0</v>
      </c>
    </row>
    <row r="353" spans="1:18" ht="23.25" hidden="1" customHeight="1">
      <c r="A353" s="1"/>
      <c r="B353" s="16"/>
      <c r="C353" s="69" t="s">
        <v>106</v>
      </c>
      <c r="D353" s="53" t="s">
        <v>107</v>
      </c>
      <c r="E353" s="96">
        <v>533000</v>
      </c>
      <c r="F353" s="71"/>
      <c r="G353" s="71"/>
      <c r="H353" s="71"/>
      <c r="I353" s="55">
        <v>790920</v>
      </c>
      <c r="J353" s="5">
        <f t="shared" si="16"/>
        <v>44416.666666666664</v>
      </c>
      <c r="P353" s="8">
        <v>260</v>
      </c>
      <c r="Q353" s="8">
        <f>P353*18*169</f>
        <v>790920</v>
      </c>
    </row>
    <row r="354" spans="1:18" ht="23.25" hidden="1" customHeight="1">
      <c r="A354" s="1"/>
      <c r="B354" s="16"/>
      <c r="C354" s="69" t="s">
        <v>20</v>
      </c>
      <c r="D354" s="53" t="s">
        <v>21</v>
      </c>
      <c r="E354" s="98">
        <v>3560000</v>
      </c>
      <c r="F354" s="71"/>
      <c r="G354" s="71"/>
      <c r="H354" s="71"/>
      <c r="I354" s="55">
        <v>300000</v>
      </c>
      <c r="J354" s="5">
        <f t="shared" si="16"/>
        <v>296666.66666666669</v>
      </c>
      <c r="O354" s="8">
        <v>1000000</v>
      </c>
    </row>
    <row r="355" spans="1:18" ht="23.25" hidden="1" customHeight="1">
      <c r="A355" s="1"/>
      <c r="B355" s="16"/>
      <c r="C355" s="69" t="s">
        <v>22</v>
      </c>
      <c r="D355" s="53" t="s">
        <v>108</v>
      </c>
      <c r="E355" s="98">
        <v>10000</v>
      </c>
      <c r="F355" s="71"/>
      <c r="G355" s="71"/>
      <c r="H355" s="71"/>
      <c r="I355" s="55">
        <v>10000</v>
      </c>
      <c r="J355" s="5">
        <f t="shared" si="16"/>
        <v>833.33333333333337</v>
      </c>
    </row>
    <row r="356" spans="1:18" ht="23.25" hidden="1" customHeight="1">
      <c r="A356" s="1"/>
      <c r="B356" s="16"/>
      <c r="C356" s="69" t="s">
        <v>24</v>
      </c>
      <c r="D356" s="53" t="s">
        <v>109</v>
      </c>
      <c r="E356" s="71"/>
      <c r="F356" s="71"/>
      <c r="G356" s="71"/>
      <c r="H356" s="71"/>
      <c r="I356" s="55">
        <v>0</v>
      </c>
      <c r="J356" s="5">
        <f t="shared" si="16"/>
        <v>0</v>
      </c>
    </row>
    <row r="357" spans="1:18" ht="23.25" hidden="1" customHeight="1">
      <c r="A357" s="1"/>
      <c r="B357" s="16"/>
      <c r="C357" s="69" t="s">
        <v>26</v>
      </c>
      <c r="D357" s="53" t="s">
        <v>110</v>
      </c>
      <c r="E357" s="96">
        <v>10000</v>
      </c>
      <c r="F357" s="71"/>
      <c r="G357" s="71"/>
      <c r="H357" s="71"/>
      <c r="I357" s="55">
        <v>11000</v>
      </c>
      <c r="J357" s="5">
        <f t="shared" si="16"/>
        <v>833.33333333333337</v>
      </c>
    </row>
    <row r="358" spans="1:18" ht="23.25" hidden="1" customHeight="1">
      <c r="A358" s="1"/>
      <c r="B358" s="16"/>
      <c r="C358" s="69" t="s">
        <v>28</v>
      </c>
      <c r="D358" s="53" t="s">
        <v>29</v>
      </c>
      <c r="E358" s="96">
        <v>125000</v>
      </c>
      <c r="F358" s="71"/>
      <c r="G358" s="71"/>
      <c r="H358" s="71"/>
      <c r="I358" s="55">
        <v>576000</v>
      </c>
      <c r="J358" s="5">
        <f t="shared" si="16"/>
        <v>10416.666666666666</v>
      </c>
    </row>
    <row r="359" spans="1:18" ht="23.25" hidden="1" customHeight="1">
      <c r="A359" s="1"/>
      <c r="B359" s="16"/>
      <c r="C359" s="69" t="s">
        <v>30</v>
      </c>
      <c r="D359" s="53" t="s">
        <v>31</v>
      </c>
      <c r="E359" s="71"/>
      <c r="F359" s="71"/>
      <c r="G359" s="71"/>
      <c r="H359" s="71"/>
      <c r="I359" s="55">
        <v>0</v>
      </c>
      <c r="J359" s="5">
        <f t="shared" si="16"/>
        <v>0</v>
      </c>
    </row>
    <row r="360" spans="1:18" ht="23.25" hidden="1" customHeight="1">
      <c r="A360" s="1"/>
      <c r="B360" s="16"/>
      <c r="C360" s="69" t="s">
        <v>32</v>
      </c>
      <c r="D360" s="53" t="s">
        <v>111</v>
      </c>
      <c r="E360" s="96">
        <v>880000</v>
      </c>
      <c r="F360" s="71"/>
      <c r="G360" s="71"/>
      <c r="H360" s="71"/>
      <c r="I360" s="55">
        <v>1138000</v>
      </c>
      <c r="J360" s="5">
        <f t="shared" si="16"/>
        <v>73333.333333333328</v>
      </c>
    </row>
    <row r="361" spans="1:18" ht="23.25" hidden="1" customHeight="1">
      <c r="A361" s="1"/>
      <c r="B361" s="16"/>
      <c r="C361" s="69" t="s">
        <v>34</v>
      </c>
      <c r="D361" s="53" t="s">
        <v>35</v>
      </c>
      <c r="E361" s="103">
        <v>28000</v>
      </c>
      <c r="F361" s="71"/>
      <c r="G361" s="71"/>
      <c r="H361" s="71"/>
      <c r="I361" s="55">
        <v>59000</v>
      </c>
      <c r="J361" s="5">
        <f t="shared" si="16"/>
        <v>2333.3333333333335</v>
      </c>
    </row>
    <row r="362" spans="1:18" ht="23.25" hidden="1" customHeight="1">
      <c r="A362" s="1"/>
      <c r="B362" s="16"/>
      <c r="C362" s="69">
        <v>3110</v>
      </c>
      <c r="D362" s="53" t="s">
        <v>38</v>
      </c>
      <c r="E362" s="92"/>
      <c r="F362" s="71"/>
      <c r="G362" s="71"/>
      <c r="H362" s="71"/>
      <c r="I362" s="55">
        <v>60000</v>
      </c>
      <c r="J362" s="5"/>
    </row>
    <row r="363" spans="1:18" ht="23.25" hidden="1" customHeight="1" thickBot="1">
      <c r="A363" s="1"/>
      <c r="B363" s="16"/>
      <c r="C363" s="65" t="s">
        <v>125</v>
      </c>
      <c r="D363" s="66" t="s">
        <v>133</v>
      </c>
      <c r="E363" s="71"/>
      <c r="F363" s="71"/>
      <c r="G363" s="71"/>
      <c r="H363" s="71"/>
      <c r="I363" s="68">
        <f>I364+I365+I366+I367+I368+I369+I370+I371+I372+I373+I374+I375+I376+I377</f>
        <v>11749509</v>
      </c>
      <c r="J363" s="5">
        <f t="shared" si="16"/>
        <v>0</v>
      </c>
    </row>
    <row r="364" spans="1:18" ht="23.25" hidden="1" customHeight="1">
      <c r="A364" s="1"/>
      <c r="B364" s="16"/>
      <c r="C364" s="69">
        <v>2111</v>
      </c>
      <c r="D364" s="53" t="s">
        <v>15</v>
      </c>
      <c r="E364" s="95">
        <v>14569000</v>
      </c>
      <c r="F364" s="71"/>
      <c r="G364" s="71"/>
      <c r="H364" s="71"/>
      <c r="I364" s="91">
        <f>19399283-11825113-R364</f>
        <v>6413179</v>
      </c>
      <c r="J364" s="5">
        <f t="shared" si="16"/>
        <v>1214083.3333333333</v>
      </c>
      <c r="O364" s="29">
        <f>4743562+14655721</f>
        <v>19399283</v>
      </c>
      <c r="Q364" s="29">
        <f>I364/13*2</f>
        <v>986642.92307692312</v>
      </c>
      <c r="R364" s="7">
        <v>1160991</v>
      </c>
    </row>
    <row r="365" spans="1:18" ht="23.25" hidden="1" customHeight="1">
      <c r="A365" s="1"/>
      <c r="B365" s="16"/>
      <c r="C365" s="69">
        <v>2120</v>
      </c>
      <c r="D365" s="53" t="s">
        <v>17</v>
      </c>
      <c r="E365" s="96">
        <v>3205200</v>
      </c>
      <c r="F365" s="71"/>
      <c r="G365" s="71"/>
      <c r="H365" s="71"/>
      <c r="I365" s="91">
        <f>4267843-2601525-R365</f>
        <v>1410900</v>
      </c>
      <c r="J365" s="5">
        <f t="shared" si="16"/>
        <v>267100</v>
      </c>
      <c r="O365" s="29">
        <f>3224259+1043584</f>
        <v>4267843</v>
      </c>
      <c r="Q365" s="29">
        <f>I365/13*2</f>
        <v>217061.53846153847</v>
      </c>
      <c r="R365" s="7">
        <v>255418</v>
      </c>
    </row>
    <row r="366" spans="1:18" ht="23.25" hidden="1" customHeight="1">
      <c r="A366" s="1"/>
      <c r="B366" s="16"/>
      <c r="C366" s="69" t="s">
        <v>18</v>
      </c>
      <c r="D366" s="53" t="s">
        <v>19</v>
      </c>
      <c r="E366" s="97">
        <v>2730000</v>
      </c>
      <c r="F366" s="71"/>
      <c r="G366" s="71"/>
      <c r="H366" s="71"/>
      <c r="I366" s="55">
        <v>350000</v>
      </c>
      <c r="J366" s="5">
        <f t="shared" si="16"/>
        <v>227500</v>
      </c>
      <c r="O366" s="8">
        <v>1000000</v>
      </c>
    </row>
    <row r="367" spans="1:18" ht="23.25" hidden="1" customHeight="1">
      <c r="A367" s="1"/>
      <c r="B367" s="16"/>
      <c r="C367" s="69" t="s">
        <v>104</v>
      </c>
      <c r="D367" s="53" t="s">
        <v>105</v>
      </c>
      <c r="E367" s="97">
        <v>0</v>
      </c>
      <c r="F367" s="71"/>
      <c r="G367" s="71"/>
      <c r="H367" s="71"/>
      <c r="I367" s="55">
        <v>0</v>
      </c>
      <c r="J367" s="5">
        <f t="shared" si="16"/>
        <v>0</v>
      </c>
    </row>
    <row r="368" spans="1:18" ht="23.25" hidden="1" customHeight="1">
      <c r="A368" s="1"/>
      <c r="B368" s="16"/>
      <c r="C368" s="69" t="s">
        <v>106</v>
      </c>
      <c r="D368" s="53" t="s">
        <v>107</v>
      </c>
      <c r="E368" s="96">
        <v>827000</v>
      </c>
      <c r="F368" s="71"/>
      <c r="G368" s="71"/>
      <c r="H368" s="71"/>
      <c r="I368" s="55">
        <v>1262430</v>
      </c>
      <c r="J368" s="5">
        <f t="shared" si="16"/>
        <v>68916.666666666672</v>
      </c>
      <c r="P368" s="8">
        <v>415</v>
      </c>
      <c r="Q368" s="8">
        <f>P368*18*169</f>
        <v>1262430</v>
      </c>
    </row>
    <row r="369" spans="1:18" ht="23.25" hidden="1" customHeight="1">
      <c r="A369" s="1"/>
      <c r="B369" s="16"/>
      <c r="C369" s="69" t="s">
        <v>20</v>
      </c>
      <c r="D369" s="53" t="s">
        <v>21</v>
      </c>
      <c r="E369" s="97">
        <v>2500000</v>
      </c>
      <c r="F369" s="71"/>
      <c r="G369" s="71"/>
      <c r="H369" s="71"/>
      <c r="I369" s="55">
        <v>300000</v>
      </c>
      <c r="J369" s="5">
        <f t="shared" si="16"/>
        <v>208333.33333333334</v>
      </c>
      <c r="O369" s="8">
        <v>1000000</v>
      </c>
    </row>
    <row r="370" spans="1:18" ht="23.25" hidden="1" customHeight="1">
      <c r="A370" s="1"/>
      <c r="B370" s="16"/>
      <c r="C370" s="69" t="s">
        <v>22</v>
      </c>
      <c r="D370" s="53" t="s">
        <v>108</v>
      </c>
      <c r="E370" s="97">
        <v>20000</v>
      </c>
      <c r="F370" s="71"/>
      <c r="G370" s="71"/>
      <c r="H370" s="71"/>
      <c r="I370" s="55">
        <v>20000</v>
      </c>
      <c r="J370" s="5">
        <f t="shared" si="16"/>
        <v>1666.6666666666667</v>
      </c>
    </row>
    <row r="371" spans="1:18" ht="23.25" hidden="1" customHeight="1">
      <c r="A371" s="1"/>
      <c r="B371" s="16"/>
      <c r="C371" s="69" t="s">
        <v>24</v>
      </c>
      <c r="D371" s="53" t="s">
        <v>109</v>
      </c>
      <c r="E371" s="71"/>
      <c r="F371" s="71"/>
      <c r="G371" s="71"/>
      <c r="H371" s="71"/>
      <c r="I371" s="55">
        <v>0</v>
      </c>
      <c r="J371" s="5">
        <f t="shared" si="16"/>
        <v>0</v>
      </c>
    </row>
    <row r="372" spans="1:18" ht="23.25" hidden="1" customHeight="1">
      <c r="A372" s="1"/>
      <c r="B372" s="16"/>
      <c r="C372" s="69" t="s">
        <v>26</v>
      </c>
      <c r="D372" s="53" t="s">
        <v>110</v>
      </c>
      <c r="E372" s="96">
        <v>20000</v>
      </c>
      <c r="F372" s="71"/>
      <c r="G372" s="71"/>
      <c r="H372" s="71"/>
      <c r="I372" s="55">
        <v>50000</v>
      </c>
      <c r="J372" s="5">
        <f t="shared" si="16"/>
        <v>1666.6666666666667</v>
      </c>
    </row>
    <row r="373" spans="1:18" ht="23.25" hidden="1" customHeight="1">
      <c r="A373" s="1"/>
      <c r="B373" s="16"/>
      <c r="C373" s="69" t="s">
        <v>28</v>
      </c>
      <c r="D373" s="53" t="s">
        <v>29</v>
      </c>
      <c r="E373" s="96">
        <v>265000</v>
      </c>
      <c r="F373" s="71"/>
      <c r="G373" s="71"/>
      <c r="H373" s="71"/>
      <c r="I373" s="55">
        <v>300000</v>
      </c>
      <c r="J373" s="5">
        <f t="shared" si="16"/>
        <v>22083.333333333332</v>
      </c>
    </row>
    <row r="374" spans="1:18" ht="23.25" hidden="1" customHeight="1">
      <c r="A374" s="1"/>
      <c r="B374" s="16"/>
      <c r="C374" s="69" t="s">
        <v>30</v>
      </c>
      <c r="D374" s="53" t="s">
        <v>31</v>
      </c>
      <c r="E374" s="96">
        <v>500000</v>
      </c>
      <c r="F374" s="71"/>
      <c r="G374" s="71"/>
      <c r="H374" s="71"/>
      <c r="I374" s="55">
        <v>1500000</v>
      </c>
      <c r="J374" s="5">
        <f t="shared" si="16"/>
        <v>41666.666666666664</v>
      </c>
    </row>
    <row r="375" spans="1:18" ht="23.25" hidden="1" customHeight="1">
      <c r="A375" s="1"/>
      <c r="B375" s="16"/>
      <c r="C375" s="69" t="s">
        <v>32</v>
      </c>
      <c r="D375" s="53" t="s">
        <v>111</v>
      </c>
      <c r="E375" s="96">
        <v>30000</v>
      </c>
      <c r="F375" s="71"/>
      <c r="G375" s="71"/>
      <c r="H375" s="71"/>
      <c r="I375" s="55">
        <v>50000</v>
      </c>
      <c r="J375" s="5">
        <f t="shared" si="16"/>
        <v>2500</v>
      </c>
    </row>
    <row r="376" spans="1:18" ht="23.25" hidden="1" customHeight="1">
      <c r="A376" s="1"/>
      <c r="B376" s="16"/>
      <c r="C376" s="69" t="s">
        <v>34</v>
      </c>
      <c r="D376" s="53" t="s">
        <v>35</v>
      </c>
      <c r="E376" s="96">
        <v>28000</v>
      </c>
      <c r="F376" s="71"/>
      <c r="G376" s="71"/>
      <c r="H376" s="71"/>
      <c r="I376" s="55">
        <v>33000</v>
      </c>
      <c r="J376" s="5">
        <f t="shared" si="16"/>
        <v>2333.3333333333335</v>
      </c>
    </row>
    <row r="377" spans="1:18" ht="23.25" hidden="1" customHeight="1">
      <c r="A377" s="1"/>
      <c r="B377" s="16"/>
      <c r="C377" s="69">
        <v>3110</v>
      </c>
      <c r="D377" s="53" t="s">
        <v>38</v>
      </c>
      <c r="E377" s="92"/>
      <c r="F377" s="71"/>
      <c r="G377" s="71"/>
      <c r="H377" s="71"/>
      <c r="I377" s="55">
        <v>60000</v>
      </c>
      <c r="J377" s="5"/>
    </row>
    <row r="378" spans="1:18" ht="23.25" hidden="1" customHeight="1" thickBot="1">
      <c r="A378" s="1"/>
      <c r="B378" s="16"/>
      <c r="C378" s="65" t="s">
        <v>125</v>
      </c>
      <c r="D378" s="66" t="s">
        <v>134</v>
      </c>
      <c r="E378" s="71"/>
      <c r="F378" s="71"/>
      <c r="G378" s="71"/>
      <c r="H378" s="71"/>
      <c r="I378" s="68">
        <f>I379+I380+I383+I384+I385+I386+I387+I388+I389+I390+I391+I392+I393+I394-I381-I382</f>
        <v>17796108.769230768</v>
      </c>
      <c r="J378" s="5">
        <f t="shared" si="16"/>
        <v>0</v>
      </c>
    </row>
    <row r="379" spans="1:18" ht="23.25" hidden="1" customHeight="1">
      <c r="A379" s="1"/>
      <c r="B379" s="16"/>
      <c r="C379" s="69">
        <v>2111</v>
      </c>
      <c r="D379" s="53" t="s">
        <v>15</v>
      </c>
      <c r="E379" s="104">
        <v>31216480</v>
      </c>
      <c r="F379" s="71"/>
      <c r="G379" s="71"/>
      <c r="H379" s="71"/>
      <c r="I379" s="91">
        <f>38337998-26783949-R379</f>
        <v>9776503</v>
      </c>
      <c r="J379" s="5">
        <f t="shared" si="16"/>
        <v>2601373.3333333335</v>
      </c>
      <c r="O379" s="29">
        <f>4986278+33351720</f>
        <v>38337998</v>
      </c>
      <c r="Q379" s="29">
        <f>I379/13*2</f>
        <v>1504077.3846153845</v>
      </c>
      <c r="R379" s="7">
        <v>1777546</v>
      </c>
    </row>
    <row r="380" spans="1:18" ht="23.25" hidden="1" customHeight="1">
      <c r="A380" s="1"/>
      <c r="B380" s="16"/>
      <c r="C380" s="69">
        <v>2120</v>
      </c>
      <c r="D380" s="53" t="s">
        <v>17</v>
      </c>
      <c r="E380" s="105">
        <v>6856120</v>
      </c>
      <c r="F380" s="71"/>
      <c r="G380" s="71"/>
      <c r="H380" s="71"/>
      <c r="I380" s="91">
        <f>8434359-5909634-R380</f>
        <v>2136305.769230769</v>
      </c>
      <c r="J380" s="5">
        <f t="shared" si="16"/>
        <v>571343.33333333337</v>
      </c>
      <c r="O380" s="29">
        <f>1096981+7337378</f>
        <v>8434359</v>
      </c>
      <c r="Q380" s="29">
        <f>I380/13*2</f>
        <v>328662.42603550293</v>
      </c>
      <c r="R380" s="7">
        <v>388419.23076923075</v>
      </c>
    </row>
    <row r="381" spans="1:18" ht="23.25" hidden="1" customHeight="1">
      <c r="A381" s="1"/>
      <c r="B381" s="16"/>
      <c r="C381" s="69">
        <v>2111</v>
      </c>
      <c r="D381" s="53" t="s">
        <v>255</v>
      </c>
      <c r="E381" s="105"/>
      <c r="F381" s="71"/>
      <c r="G381" s="71"/>
      <c r="H381" s="71"/>
      <c r="I381" s="91">
        <v>1619826</v>
      </c>
      <c r="J381" s="5"/>
      <c r="O381" s="29"/>
      <c r="Q381" s="29"/>
    </row>
    <row r="382" spans="1:18" ht="23.25" hidden="1" customHeight="1">
      <c r="A382" s="1"/>
      <c r="B382" s="16"/>
      <c r="C382" s="69">
        <v>2120</v>
      </c>
      <c r="D382" s="53" t="s">
        <v>256</v>
      </c>
      <c r="E382" s="105"/>
      <c r="F382" s="71"/>
      <c r="G382" s="71"/>
      <c r="H382" s="71"/>
      <c r="I382" s="91">
        <v>456874</v>
      </c>
      <c r="J382" s="5"/>
      <c r="O382" s="29"/>
      <c r="Q382" s="29"/>
    </row>
    <row r="383" spans="1:18" ht="23.25" hidden="1" customHeight="1">
      <c r="A383" s="1"/>
      <c r="B383" s="16"/>
      <c r="C383" s="69" t="s">
        <v>18</v>
      </c>
      <c r="D383" s="53" t="s">
        <v>19</v>
      </c>
      <c r="E383" s="105">
        <v>2068240</v>
      </c>
      <c r="F383" s="71"/>
      <c r="G383" s="71"/>
      <c r="H383" s="71"/>
      <c r="I383" s="55">
        <v>350000</v>
      </c>
      <c r="J383" s="5">
        <f t="shared" si="16"/>
        <v>172353.33333333334</v>
      </c>
      <c r="O383" s="8">
        <v>1000000</v>
      </c>
    </row>
    <row r="384" spans="1:18" ht="23.25" hidden="1" customHeight="1">
      <c r="A384" s="1"/>
      <c r="B384" s="16"/>
      <c r="C384" s="69" t="s">
        <v>104</v>
      </c>
      <c r="D384" s="53" t="s">
        <v>105</v>
      </c>
      <c r="E384" s="105"/>
      <c r="F384" s="71"/>
      <c r="G384" s="71"/>
      <c r="H384" s="71"/>
      <c r="I384" s="55">
        <v>50000</v>
      </c>
      <c r="J384" s="5">
        <f t="shared" si="16"/>
        <v>0</v>
      </c>
    </row>
    <row r="385" spans="1:18" ht="23.25" hidden="1" customHeight="1">
      <c r="A385" s="1"/>
      <c r="B385" s="16"/>
      <c r="C385" s="69" t="s">
        <v>106</v>
      </c>
      <c r="D385" s="53" t="s">
        <v>107</v>
      </c>
      <c r="E385" s="105">
        <v>1583300</v>
      </c>
      <c r="F385" s="71"/>
      <c r="G385" s="71"/>
      <c r="H385" s="71"/>
      <c r="I385" s="55">
        <v>3000000</v>
      </c>
      <c r="J385" s="5">
        <f t="shared" si="16"/>
        <v>131941.66666666666</v>
      </c>
      <c r="P385" s="8">
        <v>1040</v>
      </c>
      <c r="Q385" s="8">
        <f>P385*18*169</f>
        <v>3163680</v>
      </c>
    </row>
    <row r="386" spans="1:18" ht="23.25" hidden="1" customHeight="1">
      <c r="A386" s="1"/>
      <c r="B386" s="16"/>
      <c r="C386" s="69" t="s">
        <v>20</v>
      </c>
      <c r="D386" s="53" t="s">
        <v>21</v>
      </c>
      <c r="E386" s="105">
        <v>1507200</v>
      </c>
      <c r="F386" s="71"/>
      <c r="G386" s="71"/>
      <c r="H386" s="71"/>
      <c r="I386" s="55">
        <v>300000</v>
      </c>
      <c r="J386" s="30">
        <v>753600</v>
      </c>
      <c r="K386" s="31">
        <v>753600</v>
      </c>
      <c r="L386" s="31">
        <v>753600</v>
      </c>
      <c r="M386" s="31">
        <v>753600</v>
      </c>
      <c r="N386" s="31">
        <v>753600</v>
      </c>
      <c r="O386" s="8">
        <v>1000000</v>
      </c>
    </row>
    <row r="387" spans="1:18" ht="23.25" hidden="1" customHeight="1">
      <c r="A387" s="1"/>
      <c r="B387" s="16"/>
      <c r="C387" s="69" t="s">
        <v>22</v>
      </c>
      <c r="D387" s="53" t="s">
        <v>108</v>
      </c>
      <c r="E387" s="105">
        <v>30000</v>
      </c>
      <c r="F387" s="71"/>
      <c r="G387" s="71"/>
      <c r="H387" s="71"/>
      <c r="I387" s="55">
        <v>40000</v>
      </c>
      <c r="J387" s="5">
        <f t="shared" si="16"/>
        <v>2500</v>
      </c>
    </row>
    <row r="388" spans="1:18" ht="23.25" hidden="1" customHeight="1">
      <c r="A388" s="1"/>
      <c r="B388" s="16"/>
      <c r="C388" s="69" t="s">
        <v>24</v>
      </c>
      <c r="D388" s="53" t="s">
        <v>109</v>
      </c>
      <c r="E388" s="71"/>
      <c r="F388" s="71"/>
      <c r="G388" s="71"/>
      <c r="H388" s="71"/>
      <c r="I388" s="55">
        <v>2600000</v>
      </c>
      <c r="J388" s="5">
        <f t="shared" si="16"/>
        <v>0</v>
      </c>
    </row>
    <row r="389" spans="1:18" ht="23.25" hidden="1" customHeight="1">
      <c r="A389" s="1"/>
      <c r="B389" s="16"/>
      <c r="C389" s="69" t="s">
        <v>26</v>
      </c>
      <c r="D389" s="53" t="s">
        <v>110</v>
      </c>
      <c r="E389" s="105">
        <v>132000</v>
      </c>
      <c r="F389" s="71"/>
      <c r="G389" s="71"/>
      <c r="H389" s="71"/>
      <c r="I389" s="55">
        <v>170000</v>
      </c>
      <c r="J389" s="5">
        <f t="shared" si="16"/>
        <v>11000</v>
      </c>
    </row>
    <row r="390" spans="1:18" ht="23.25" hidden="1" customHeight="1">
      <c r="A390" s="1"/>
      <c r="B390" s="16"/>
      <c r="C390" s="69" t="s">
        <v>28</v>
      </c>
      <c r="D390" s="53" t="s">
        <v>29</v>
      </c>
      <c r="E390" s="105">
        <v>800000</v>
      </c>
      <c r="F390" s="71"/>
      <c r="G390" s="71"/>
      <c r="H390" s="71"/>
      <c r="I390" s="55">
        <v>1300000</v>
      </c>
      <c r="J390" s="5">
        <f t="shared" si="16"/>
        <v>66666.666666666672</v>
      </c>
    </row>
    <row r="391" spans="1:18" ht="23.25" hidden="1" customHeight="1">
      <c r="A391" s="1"/>
      <c r="B391" s="16"/>
      <c r="C391" s="69" t="s">
        <v>30</v>
      </c>
      <c r="D391" s="53" t="s">
        <v>31</v>
      </c>
      <c r="E391" s="105"/>
      <c r="F391" s="71"/>
      <c r="G391" s="71"/>
      <c r="H391" s="71"/>
      <c r="I391" s="55">
        <v>0</v>
      </c>
      <c r="J391" s="5">
        <f t="shared" si="16"/>
        <v>0</v>
      </c>
    </row>
    <row r="392" spans="1:18" ht="23.25" hidden="1" customHeight="1">
      <c r="A392" s="1"/>
      <c r="B392" s="16"/>
      <c r="C392" s="69" t="s">
        <v>32</v>
      </c>
      <c r="D392" s="53" t="s">
        <v>111</v>
      </c>
      <c r="E392" s="105">
        <v>35000</v>
      </c>
      <c r="F392" s="71"/>
      <c r="G392" s="71"/>
      <c r="H392" s="71"/>
      <c r="I392" s="55">
        <v>100000</v>
      </c>
      <c r="J392" s="5">
        <f t="shared" si="16"/>
        <v>2916.6666666666665</v>
      </c>
    </row>
    <row r="393" spans="1:18" ht="23.25" hidden="1" customHeight="1">
      <c r="A393" s="1"/>
      <c r="B393" s="16"/>
      <c r="C393" s="69" t="s">
        <v>34</v>
      </c>
      <c r="D393" s="53" t="s">
        <v>35</v>
      </c>
      <c r="E393" s="105">
        <v>40000</v>
      </c>
      <c r="F393" s="71"/>
      <c r="G393" s="71"/>
      <c r="H393" s="71"/>
      <c r="I393" s="55">
        <v>40000</v>
      </c>
      <c r="J393" s="5">
        <f t="shared" si="16"/>
        <v>3333.3333333333335</v>
      </c>
    </row>
    <row r="394" spans="1:18" ht="15" hidden="1" customHeight="1">
      <c r="A394" s="1"/>
      <c r="B394" s="16"/>
      <c r="C394" s="69" t="s">
        <v>36</v>
      </c>
      <c r="D394" s="53" t="s">
        <v>37</v>
      </c>
      <c r="E394" s="71"/>
      <c r="F394" s="71"/>
      <c r="G394" s="71"/>
      <c r="H394" s="71"/>
      <c r="I394" s="55">
        <v>10000</v>
      </c>
      <c r="J394" s="5">
        <f t="shared" si="16"/>
        <v>0</v>
      </c>
    </row>
    <row r="395" spans="1:18" ht="24.75" hidden="1" customHeight="1" thickBot="1">
      <c r="A395" s="1"/>
      <c r="B395" s="16"/>
      <c r="C395" s="65" t="s">
        <v>125</v>
      </c>
      <c r="D395" s="66" t="s">
        <v>135</v>
      </c>
      <c r="E395" s="71"/>
      <c r="F395" s="71"/>
      <c r="G395" s="71"/>
      <c r="H395" s="71"/>
      <c r="I395" s="68">
        <f>I396+I397+I398+I399+I400+I401+I402+I403+I404+I405+I406+I407+I408+I409</f>
        <v>12207964</v>
      </c>
      <c r="J395" s="5">
        <f t="shared" si="16"/>
        <v>0</v>
      </c>
    </row>
    <row r="396" spans="1:18" ht="23.25" hidden="1" customHeight="1">
      <c r="A396" s="1"/>
      <c r="B396" s="16"/>
      <c r="C396" s="69">
        <v>2111</v>
      </c>
      <c r="D396" s="53" t="s">
        <v>15</v>
      </c>
      <c r="E396" s="106">
        <v>7068000</v>
      </c>
      <c r="F396" s="71"/>
      <c r="G396" s="71"/>
      <c r="H396" s="71"/>
      <c r="I396" s="91">
        <f>17779963-9518109-R396</f>
        <v>6994233</v>
      </c>
      <c r="J396" s="5">
        <f t="shared" si="16"/>
        <v>589000</v>
      </c>
      <c r="O396" s="29">
        <f>12107144+5672819</f>
        <v>17779963</v>
      </c>
      <c r="Q396" s="29">
        <f>I396/13*2</f>
        <v>1076035.8461538462</v>
      </c>
      <c r="R396" s="7">
        <v>1267621</v>
      </c>
    </row>
    <row r="397" spans="1:18" ht="23.25" hidden="1" customHeight="1">
      <c r="A397" s="1"/>
      <c r="B397" s="16"/>
      <c r="C397" s="69">
        <v>2120</v>
      </c>
      <c r="D397" s="53" t="s">
        <v>17</v>
      </c>
      <c r="E397" s="107">
        <v>1555000</v>
      </c>
      <c r="F397" s="71"/>
      <c r="G397" s="71"/>
      <c r="H397" s="71"/>
      <c r="I397" s="91">
        <f>3911592-2093984-R397</f>
        <v>1538731</v>
      </c>
      <c r="J397" s="5">
        <f t="shared" si="16"/>
        <v>129583.33333333333</v>
      </c>
      <c r="O397" s="29">
        <f>1248020+2663572</f>
        <v>3911592</v>
      </c>
      <c r="Q397" s="29">
        <f>I397/13*2</f>
        <v>236727.84615384616</v>
      </c>
      <c r="R397" s="7">
        <v>278877</v>
      </c>
    </row>
    <row r="398" spans="1:18" ht="23.25" hidden="1" customHeight="1">
      <c r="A398" s="1"/>
      <c r="B398" s="16"/>
      <c r="C398" s="69" t="s">
        <v>18</v>
      </c>
      <c r="D398" s="53" t="s">
        <v>19</v>
      </c>
      <c r="E398" s="107">
        <v>1750000</v>
      </c>
      <c r="F398" s="71"/>
      <c r="G398" s="71"/>
      <c r="H398" s="71"/>
      <c r="I398" s="55">
        <v>450000</v>
      </c>
      <c r="J398" s="5">
        <f t="shared" si="16"/>
        <v>145833.33333333334</v>
      </c>
      <c r="O398" s="8">
        <v>1000000</v>
      </c>
    </row>
    <row r="399" spans="1:18" ht="23.25" hidden="1" customHeight="1">
      <c r="A399" s="1"/>
      <c r="B399" s="16"/>
      <c r="C399" s="69" t="s">
        <v>104</v>
      </c>
      <c r="D399" s="53" t="s">
        <v>105</v>
      </c>
      <c r="E399" s="107"/>
      <c r="F399" s="71"/>
      <c r="G399" s="71"/>
      <c r="H399" s="71"/>
      <c r="I399" s="55">
        <v>0</v>
      </c>
      <c r="J399" s="5">
        <f t="shared" si="16"/>
        <v>0</v>
      </c>
    </row>
    <row r="400" spans="1:18" ht="23.25" hidden="1" customHeight="1">
      <c r="A400" s="1"/>
      <c r="B400" s="16"/>
      <c r="C400" s="69" t="s">
        <v>106</v>
      </c>
      <c r="D400" s="53" t="s">
        <v>107</v>
      </c>
      <c r="E400" s="107">
        <v>332000</v>
      </c>
      <c r="F400" s="71"/>
      <c r="G400" s="71"/>
      <c r="H400" s="71"/>
      <c r="I400" s="55">
        <v>790000</v>
      </c>
      <c r="J400" s="5">
        <f t="shared" si="16"/>
        <v>27666.666666666668</v>
      </c>
      <c r="P400" s="8">
        <v>259</v>
      </c>
      <c r="Q400" s="8">
        <f>P400*18*169</f>
        <v>787878</v>
      </c>
    </row>
    <row r="401" spans="1:18" ht="23.25" hidden="1" customHeight="1">
      <c r="A401" s="1"/>
      <c r="B401" s="16"/>
      <c r="C401" s="69" t="s">
        <v>20</v>
      </c>
      <c r="D401" s="53" t="s">
        <v>21</v>
      </c>
      <c r="E401" s="107">
        <v>2340000</v>
      </c>
      <c r="F401" s="71"/>
      <c r="G401" s="71"/>
      <c r="H401" s="71"/>
      <c r="I401" s="55">
        <v>400000</v>
      </c>
      <c r="J401" s="5">
        <f t="shared" si="16"/>
        <v>195000</v>
      </c>
      <c r="O401" s="8">
        <v>1000000</v>
      </c>
    </row>
    <row r="402" spans="1:18" ht="23.25" hidden="1" customHeight="1">
      <c r="A402" s="1"/>
      <c r="B402" s="16"/>
      <c r="C402" s="69" t="s">
        <v>22</v>
      </c>
      <c r="D402" s="53" t="s">
        <v>108</v>
      </c>
      <c r="E402" s="107">
        <v>10000</v>
      </c>
      <c r="F402" s="71"/>
      <c r="G402" s="71"/>
      <c r="H402" s="71"/>
      <c r="I402" s="55">
        <v>30000</v>
      </c>
      <c r="J402" s="5">
        <f t="shared" si="16"/>
        <v>833.33333333333337</v>
      </c>
    </row>
    <row r="403" spans="1:18" ht="23.25" hidden="1" customHeight="1">
      <c r="A403" s="1"/>
      <c r="B403" s="16"/>
      <c r="C403" s="69" t="s">
        <v>24</v>
      </c>
      <c r="D403" s="53" t="s">
        <v>109</v>
      </c>
      <c r="E403" s="107">
        <v>800000</v>
      </c>
      <c r="F403" s="71"/>
      <c r="G403" s="71"/>
      <c r="H403" s="71"/>
      <c r="I403" s="55">
        <v>1500000</v>
      </c>
      <c r="J403" s="5">
        <f t="shared" si="16"/>
        <v>66666.666666666672</v>
      </c>
    </row>
    <row r="404" spans="1:18" ht="23.25" hidden="1" customHeight="1">
      <c r="A404" s="1"/>
      <c r="B404" s="16"/>
      <c r="C404" s="69" t="s">
        <v>26</v>
      </c>
      <c r="D404" s="53" t="s">
        <v>110</v>
      </c>
      <c r="E404" s="107">
        <v>15000</v>
      </c>
      <c r="F404" s="71"/>
      <c r="G404" s="71"/>
      <c r="H404" s="71"/>
      <c r="I404" s="55">
        <v>40000</v>
      </c>
      <c r="J404" s="5">
        <f t="shared" si="16"/>
        <v>1250</v>
      </c>
    </row>
    <row r="405" spans="1:18" ht="23.25" hidden="1" customHeight="1">
      <c r="A405" s="1"/>
      <c r="B405" s="16"/>
      <c r="C405" s="69" t="s">
        <v>28</v>
      </c>
      <c r="D405" s="53" t="s">
        <v>29</v>
      </c>
      <c r="E405" s="107">
        <v>110000</v>
      </c>
      <c r="F405" s="71"/>
      <c r="G405" s="71"/>
      <c r="H405" s="71"/>
      <c r="I405" s="55">
        <v>300000</v>
      </c>
      <c r="J405" s="5">
        <f t="shared" si="16"/>
        <v>9166.6666666666661</v>
      </c>
    </row>
    <row r="406" spans="1:18" ht="23.25" hidden="1" customHeight="1">
      <c r="A406" s="1"/>
      <c r="B406" s="16"/>
      <c r="C406" s="69" t="s">
        <v>30</v>
      </c>
      <c r="D406" s="53" t="s">
        <v>31</v>
      </c>
      <c r="E406" s="71"/>
      <c r="F406" s="71"/>
      <c r="G406" s="71"/>
      <c r="H406" s="71"/>
      <c r="I406" s="55">
        <v>0</v>
      </c>
      <c r="J406" s="5">
        <f t="shared" si="16"/>
        <v>0</v>
      </c>
    </row>
    <row r="407" spans="1:18" ht="23.25" hidden="1" customHeight="1">
      <c r="A407" s="1"/>
      <c r="B407" s="16"/>
      <c r="C407" s="69" t="s">
        <v>32</v>
      </c>
      <c r="D407" s="53" t="s">
        <v>111</v>
      </c>
      <c r="E407" s="107">
        <v>10000</v>
      </c>
      <c r="F407" s="71"/>
      <c r="G407" s="71"/>
      <c r="H407" s="71"/>
      <c r="I407" s="55">
        <v>50000</v>
      </c>
      <c r="J407" s="5">
        <f t="shared" si="16"/>
        <v>833.33333333333337</v>
      </c>
    </row>
    <row r="408" spans="1:18" ht="23.25" hidden="1" customHeight="1">
      <c r="A408" s="1"/>
      <c r="B408" s="16"/>
      <c r="C408" s="69" t="s">
        <v>34</v>
      </c>
      <c r="D408" s="53" t="s">
        <v>35</v>
      </c>
      <c r="E408" s="92">
        <v>23000</v>
      </c>
      <c r="F408" s="71"/>
      <c r="G408" s="71"/>
      <c r="H408" s="71"/>
      <c r="I408" s="55">
        <v>55000</v>
      </c>
      <c r="J408" s="5">
        <f t="shared" si="16"/>
        <v>1916.6666666666667</v>
      </c>
    </row>
    <row r="409" spans="1:18" ht="23.25" hidden="1" customHeight="1">
      <c r="A409" s="1"/>
      <c r="B409" s="16"/>
      <c r="C409" s="69">
        <v>3110</v>
      </c>
      <c r="D409" s="53" t="s">
        <v>38</v>
      </c>
      <c r="E409" s="92"/>
      <c r="F409" s="71"/>
      <c r="G409" s="71"/>
      <c r="H409" s="71"/>
      <c r="I409" s="55">
        <v>60000</v>
      </c>
      <c r="J409" s="5"/>
    </row>
    <row r="410" spans="1:18" ht="23.25" hidden="1" customHeight="1" thickBot="1">
      <c r="A410" s="1"/>
      <c r="B410" s="16"/>
      <c r="C410" s="65" t="s">
        <v>125</v>
      </c>
      <c r="D410" s="66" t="s">
        <v>136</v>
      </c>
      <c r="E410" s="71"/>
      <c r="F410" s="71"/>
      <c r="G410" s="71"/>
      <c r="H410" s="71"/>
      <c r="I410" s="68">
        <f>I411+I412+I413+I414+I415+I416+I417+I418+I419+I420+I421+I422+I423+I424</f>
        <v>6229637</v>
      </c>
      <c r="J410" s="5">
        <f t="shared" si="16"/>
        <v>0</v>
      </c>
    </row>
    <row r="411" spans="1:18" ht="23.25" hidden="1" customHeight="1">
      <c r="A411" s="1"/>
      <c r="B411" s="16"/>
      <c r="C411" s="69">
        <v>2111</v>
      </c>
      <c r="D411" s="53" t="s">
        <v>15</v>
      </c>
      <c r="E411" s="106">
        <v>5865000</v>
      </c>
      <c r="F411" s="71"/>
      <c r="G411" s="71"/>
      <c r="H411" s="71"/>
      <c r="I411" s="91">
        <f>7846098-4003080-R411</f>
        <v>3253228</v>
      </c>
      <c r="J411" s="5">
        <f t="shared" si="16"/>
        <v>488750</v>
      </c>
      <c r="O411" s="29">
        <f>5094229+2751869</f>
        <v>7846098</v>
      </c>
      <c r="Q411" s="29">
        <f>I411/13*2</f>
        <v>500496.61538461538</v>
      </c>
      <c r="R411" s="7">
        <v>589790</v>
      </c>
    </row>
    <row r="412" spans="1:18" ht="23.25" hidden="1" customHeight="1">
      <c r="A412" s="1"/>
      <c r="B412" s="16"/>
      <c r="C412" s="69">
        <v>2120</v>
      </c>
      <c r="D412" s="53" t="s">
        <v>17</v>
      </c>
      <c r="E412" s="107">
        <v>1290400</v>
      </c>
      <c r="F412" s="71"/>
      <c r="G412" s="71"/>
      <c r="H412" s="71"/>
      <c r="I412" s="91">
        <f>1726141-880678-R412</f>
        <v>715709</v>
      </c>
      <c r="J412" s="5">
        <f t="shared" si="16"/>
        <v>107533.33333333333</v>
      </c>
      <c r="O412" s="29">
        <f>605411+1120730</f>
        <v>1726141</v>
      </c>
      <c r="Q412" s="29">
        <f>I412/13*2</f>
        <v>110109.07692307692</v>
      </c>
      <c r="R412" s="7">
        <v>129754</v>
      </c>
    </row>
    <row r="413" spans="1:18" ht="23.25" hidden="1" customHeight="1">
      <c r="A413" s="1"/>
      <c r="B413" s="16"/>
      <c r="C413" s="69" t="s">
        <v>18</v>
      </c>
      <c r="D413" s="53" t="s">
        <v>19</v>
      </c>
      <c r="E413" s="107">
        <v>600000</v>
      </c>
      <c r="F413" s="71"/>
      <c r="G413" s="71"/>
      <c r="H413" s="71"/>
      <c r="I413" s="55">
        <v>350000</v>
      </c>
      <c r="J413" s="5">
        <f t="shared" si="16"/>
        <v>50000</v>
      </c>
      <c r="O413" s="8">
        <v>600000</v>
      </c>
    </row>
    <row r="414" spans="1:18" ht="23.25" hidden="1" customHeight="1">
      <c r="A414" s="1"/>
      <c r="B414" s="16"/>
      <c r="C414" s="69" t="s">
        <v>104</v>
      </c>
      <c r="D414" s="53" t="s">
        <v>105</v>
      </c>
      <c r="E414" s="107"/>
      <c r="F414" s="71"/>
      <c r="G414" s="71"/>
      <c r="H414" s="71"/>
      <c r="I414" s="55">
        <v>0</v>
      </c>
      <c r="J414" s="5">
        <f t="shared" ref="J414:J438" si="17">E414/12</f>
        <v>0</v>
      </c>
    </row>
    <row r="415" spans="1:18" ht="23.25" hidden="1" customHeight="1">
      <c r="A415" s="1"/>
      <c r="B415" s="16"/>
      <c r="C415" s="69" t="s">
        <v>106</v>
      </c>
      <c r="D415" s="53" t="s">
        <v>107</v>
      </c>
      <c r="E415" s="107">
        <v>215000</v>
      </c>
      <c r="F415" s="71"/>
      <c r="G415" s="71"/>
      <c r="H415" s="71"/>
      <c r="I415" s="55">
        <v>337700</v>
      </c>
      <c r="J415" s="5">
        <f t="shared" si="17"/>
        <v>17916.666666666668</v>
      </c>
      <c r="P415" s="8">
        <v>111</v>
      </c>
      <c r="Q415" s="8">
        <f>P415*18*169</f>
        <v>337662</v>
      </c>
    </row>
    <row r="416" spans="1:18" ht="23.25" hidden="1" customHeight="1">
      <c r="A416" s="1"/>
      <c r="B416" s="16"/>
      <c r="C416" s="69" t="s">
        <v>20</v>
      </c>
      <c r="D416" s="53" t="s">
        <v>21</v>
      </c>
      <c r="E416" s="107">
        <v>390000</v>
      </c>
      <c r="F416" s="71"/>
      <c r="G416" s="71"/>
      <c r="H416" s="71"/>
      <c r="I416" s="55">
        <v>250000</v>
      </c>
      <c r="J416" s="5">
        <f t="shared" si="17"/>
        <v>32500</v>
      </c>
      <c r="O416" s="8">
        <v>405000</v>
      </c>
    </row>
    <row r="417" spans="1:18" ht="23.25" hidden="1" customHeight="1">
      <c r="A417" s="1"/>
      <c r="B417" s="16"/>
      <c r="C417" s="69" t="s">
        <v>22</v>
      </c>
      <c r="D417" s="53" t="s">
        <v>108</v>
      </c>
      <c r="E417" s="107">
        <v>5000</v>
      </c>
      <c r="F417" s="71"/>
      <c r="G417" s="71"/>
      <c r="H417" s="71"/>
      <c r="I417" s="55">
        <v>5000</v>
      </c>
      <c r="J417" s="5">
        <f t="shared" si="17"/>
        <v>416.66666666666669</v>
      </c>
    </row>
    <row r="418" spans="1:18" ht="23.25" hidden="1" customHeight="1">
      <c r="A418" s="1"/>
      <c r="B418" s="16"/>
      <c r="C418" s="69" t="s">
        <v>24</v>
      </c>
      <c r="D418" s="53" t="s">
        <v>109</v>
      </c>
      <c r="E418" s="107"/>
      <c r="F418" s="71"/>
      <c r="G418" s="71"/>
      <c r="H418" s="71"/>
      <c r="I418" s="55">
        <v>0</v>
      </c>
      <c r="J418" s="5">
        <f t="shared" si="17"/>
        <v>0</v>
      </c>
    </row>
    <row r="419" spans="1:18" ht="23.25" hidden="1" customHeight="1">
      <c r="A419" s="1"/>
      <c r="B419" s="16"/>
      <c r="C419" s="69" t="s">
        <v>26</v>
      </c>
      <c r="D419" s="53" t="s">
        <v>110</v>
      </c>
      <c r="E419" s="107"/>
      <c r="F419" s="71"/>
      <c r="G419" s="71"/>
      <c r="H419" s="71"/>
      <c r="I419" s="55">
        <v>0</v>
      </c>
      <c r="J419" s="5">
        <f t="shared" si="17"/>
        <v>0</v>
      </c>
    </row>
    <row r="420" spans="1:18" ht="23.25" hidden="1" customHeight="1">
      <c r="A420" s="1"/>
      <c r="B420" s="16"/>
      <c r="C420" s="69" t="s">
        <v>28</v>
      </c>
      <c r="D420" s="53" t="s">
        <v>29</v>
      </c>
      <c r="E420" s="107">
        <v>75000</v>
      </c>
      <c r="F420" s="71"/>
      <c r="G420" s="71"/>
      <c r="H420" s="71"/>
      <c r="I420" s="55">
        <v>135000</v>
      </c>
      <c r="J420" s="5">
        <f t="shared" si="17"/>
        <v>6250</v>
      </c>
    </row>
    <row r="421" spans="1:18" ht="23.25" hidden="1" customHeight="1">
      <c r="A421" s="1"/>
      <c r="B421" s="16"/>
      <c r="C421" s="69" t="s">
        <v>30</v>
      </c>
      <c r="D421" s="53" t="s">
        <v>31</v>
      </c>
      <c r="E421" s="107"/>
      <c r="F421" s="71"/>
      <c r="G421" s="71"/>
      <c r="H421" s="71"/>
      <c r="I421" s="55">
        <v>0</v>
      </c>
      <c r="J421" s="5">
        <f t="shared" si="17"/>
        <v>0</v>
      </c>
    </row>
    <row r="422" spans="1:18" ht="23.25" hidden="1" customHeight="1">
      <c r="A422" s="1"/>
      <c r="B422" s="16"/>
      <c r="C422" s="69" t="s">
        <v>32</v>
      </c>
      <c r="D422" s="53" t="s">
        <v>111</v>
      </c>
      <c r="E422" s="107">
        <v>900000</v>
      </c>
      <c r="F422" s="71"/>
      <c r="G422" s="71"/>
      <c r="H422" s="71"/>
      <c r="I422" s="55">
        <v>1110000</v>
      </c>
      <c r="J422" s="5">
        <f t="shared" si="17"/>
        <v>75000</v>
      </c>
    </row>
    <row r="423" spans="1:18" ht="23.25" hidden="1" customHeight="1">
      <c r="A423" s="1"/>
      <c r="B423" s="16"/>
      <c r="C423" s="69" t="s">
        <v>34</v>
      </c>
      <c r="D423" s="53" t="s">
        <v>35</v>
      </c>
      <c r="E423" s="92">
        <v>13000</v>
      </c>
      <c r="F423" s="71"/>
      <c r="G423" s="71"/>
      <c r="H423" s="71"/>
      <c r="I423" s="55">
        <v>13000</v>
      </c>
      <c r="J423" s="5">
        <f t="shared" si="17"/>
        <v>1083.3333333333333</v>
      </c>
    </row>
    <row r="424" spans="1:18" ht="23.25" hidden="1" customHeight="1">
      <c r="A424" s="1"/>
      <c r="B424" s="16"/>
      <c r="C424" s="69">
        <v>3110</v>
      </c>
      <c r="D424" s="53" t="s">
        <v>38</v>
      </c>
      <c r="E424" s="92"/>
      <c r="F424" s="71"/>
      <c r="G424" s="71"/>
      <c r="H424" s="71"/>
      <c r="I424" s="55">
        <v>60000</v>
      </c>
      <c r="J424" s="5"/>
    </row>
    <row r="425" spans="1:18" ht="15" hidden="1" customHeight="1" thickBot="1">
      <c r="A425" s="1"/>
      <c r="B425" s="16"/>
      <c r="C425" s="65" t="s">
        <v>125</v>
      </c>
      <c r="D425" s="66" t="s">
        <v>137</v>
      </c>
      <c r="E425" s="71"/>
      <c r="F425" s="71"/>
      <c r="G425" s="71"/>
      <c r="H425" s="71"/>
      <c r="I425" s="68">
        <f>I426+I427+I428+I429+I430+I431+I432+I433+I434+I435+I436+I437+I438+I439</f>
        <v>10892455.015384614</v>
      </c>
      <c r="J425" s="5">
        <f t="shared" si="17"/>
        <v>0</v>
      </c>
    </row>
    <row r="426" spans="1:18" ht="15" hidden="1" customHeight="1">
      <c r="A426" s="1"/>
      <c r="B426" s="16"/>
      <c r="C426" s="69">
        <v>2111</v>
      </c>
      <c r="D426" s="53" t="s">
        <v>15</v>
      </c>
      <c r="E426" s="106">
        <v>14817000</v>
      </c>
      <c r="F426" s="71"/>
      <c r="G426" s="71"/>
      <c r="H426" s="71"/>
      <c r="I426" s="91">
        <f>19449777-12232118-R426</f>
        <v>5996209.0153846154</v>
      </c>
      <c r="J426" s="5">
        <f t="shared" si="17"/>
        <v>1234750</v>
      </c>
      <c r="O426" s="29">
        <f>3799807+15649970</f>
        <v>19449777</v>
      </c>
      <c r="Q426" s="29">
        <f>I426/13*2.2</f>
        <v>1014743.0641420119</v>
      </c>
      <c r="R426" s="7">
        <v>1221449.9846153848</v>
      </c>
    </row>
    <row r="427" spans="1:18" ht="15.75" hidden="1" customHeight="1">
      <c r="A427" s="1"/>
      <c r="B427" s="16"/>
      <c r="C427" s="69">
        <v>2120</v>
      </c>
      <c r="D427" s="53" t="s">
        <v>17</v>
      </c>
      <c r="E427" s="107">
        <v>3259900</v>
      </c>
      <c r="F427" s="71"/>
      <c r="G427" s="71"/>
      <c r="H427" s="71"/>
      <c r="I427" s="91">
        <f>4278951-2691066-R427</f>
        <v>1319166</v>
      </c>
      <c r="J427" s="5">
        <f t="shared" si="17"/>
        <v>271658.33333333331</v>
      </c>
      <c r="O427" s="29">
        <f>835958+3442993</f>
        <v>4278951</v>
      </c>
      <c r="Q427" s="29">
        <f>I427/13*2.2</f>
        <v>223243.47692307693</v>
      </c>
      <c r="R427" s="7">
        <v>268719</v>
      </c>
    </row>
    <row r="428" spans="1:18" ht="18" hidden="1" customHeight="1">
      <c r="A428" s="1"/>
      <c r="B428" s="16"/>
      <c r="C428" s="69" t="s">
        <v>18</v>
      </c>
      <c r="D428" s="53" t="s">
        <v>19</v>
      </c>
      <c r="E428" s="107">
        <v>3030000</v>
      </c>
      <c r="F428" s="71"/>
      <c r="G428" s="71"/>
      <c r="H428" s="71"/>
      <c r="I428" s="55">
        <v>350000</v>
      </c>
      <c r="J428" s="5">
        <f t="shared" si="17"/>
        <v>252500</v>
      </c>
      <c r="O428" s="8">
        <v>1000000</v>
      </c>
    </row>
    <row r="429" spans="1:18" ht="18" hidden="1" customHeight="1">
      <c r="A429" s="1"/>
      <c r="B429" s="16"/>
      <c r="C429" s="69" t="s">
        <v>104</v>
      </c>
      <c r="D429" s="53" t="s">
        <v>105</v>
      </c>
      <c r="E429" s="107"/>
      <c r="F429" s="71"/>
      <c r="G429" s="71"/>
      <c r="H429" s="71"/>
      <c r="I429" s="55">
        <v>0</v>
      </c>
      <c r="J429" s="5">
        <f t="shared" si="17"/>
        <v>0</v>
      </c>
    </row>
    <row r="430" spans="1:18" ht="17.25" hidden="1" customHeight="1">
      <c r="A430" s="1"/>
      <c r="B430" s="16"/>
      <c r="C430" s="69" t="s">
        <v>106</v>
      </c>
      <c r="D430" s="53" t="s">
        <v>107</v>
      </c>
      <c r="E430" s="107">
        <v>998000</v>
      </c>
      <c r="F430" s="71"/>
      <c r="G430" s="71"/>
      <c r="H430" s="71"/>
      <c r="I430" s="55">
        <v>1454080</v>
      </c>
      <c r="J430" s="5">
        <f t="shared" si="17"/>
        <v>83166.666666666672</v>
      </c>
      <c r="P430" s="8">
        <v>478</v>
      </c>
      <c r="Q430" s="8">
        <f>P430*18*169</f>
        <v>1454076</v>
      </c>
    </row>
    <row r="431" spans="1:18" ht="15.75" hidden="1" customHeight="1">
      <c r="A431" s="1"/>
      <c r="B431" s="16"/>
      <c r="C431" s="69" t="s">
        <v>20</v>
      </c>
      <c r="D431" s="53" t="s">
        <v>21</v>
      </c>
      <c r="E431" s="107">
        <v>2410000</v>
      </c>
      <c r="F431" s="71"/>
      <c r="G431" s="71"/>
      <c r="H431" s="71"/>
      <c r="I431" s="55">
        <v>300000</v>
      </c>
      <c r="J431" s="5">
        <f t="shared" si="17"/>
        <v>200833.33333333334</v>
      </c>
      <c r="O431" s="8">
        <v>1000000</v>
      </c>
    </row>
    <row r="432" spans="1:18" ht="14.25" hidden="1" customHeight="1">
      <c r="A432" s="1"/>
      <c r="B432" s="16"/>
      <c r="C432" s="69" t="s">
        <v>22</v>
      </c>
      <c r="D432" s="53" t="s">
        <v>108</v>
      </c>
      <c r="E432" s="107">
        <v>10000</v>
      </c>
      <c r="F432" s="71"/>
      <c r="G432" s="71"/>
      <c r="H432" s="71"/>
      <c r="I432" s="55">
        <v>10000</v>
      </c>
      <c r="J432" s="5">
        <f t="shared" si="17"/>
        <v>833.33333333333337</v>
      </c>
    </row>
    <row r="433" spans="1:20" ht="14.25" hidden="1" customHeight="1">
      <c r="A433" s="1"/>
      <c r="B433" s="16"/>
      <c r="C433" s="69" t="s">
        <v>24</v>
      </c>
      <c r="D433" s="53" t="s">
        <v>109</v>
      </c>
      <c r="E433" s="107">
        <v>1030000</v>
      </c>
      <c r="F433" s="71"/>
      <c r="G433" s="71"/>
      <c r="H433" s="71"/>
      <c r="I433" s="55">
        <v>1135000</v>
      </c>
      <c r="J433" s="5">
        <f t="shared" si="17"/>
        <v>85833.333333333328</v>
      </c>
    </row>
    <row r="434" spans="1:20" ht="16.5" hidden="1" customHeight="1">
      <c r="A434" s="1"/>
      <c r="B434" s="16"/>
      <c r="C434" s="69" t="s">
        <v>26</v>
      </c>
      <c r="D434" s="53" t="s">
        <v>110</v>
      </c>
      <c r="E434" s="107">
        <v>40000</v>
      </c>
      <c r="F434" s="71"/>
      <c r="G434" s="71"/>
      <c r="H434" s="71"/>
      <c r="I434" s="55">
        <v>50000</v>
      </c>
      <c r="J434" s="5">
        <f t="shared" si="17"/>
        <v>3333.3333333333335</v>
      </c>
    </row>
    <row r="435" spans="1:20" ht="14.25" hidden="1" customHeight="1">
      <c r="A435" s="1"/>
      <c r="B435" s="16"/>
      <c r="C435" s="69" t="s">
        <v>28</v>
      </c>
      <c r="D435" s="53" t="s">
        <v>29</v>
      </c>
      <c r="E435" s="107">
        <v>140000</v>
      </c>
      <c r="F435" s="71"/>
      <c r="G435" s="71"/>
      <c r="H435" s="71"/>
      <c r="I435" s="55">
        <v>160000</v>
      </c>
      <c r="J435" s="5">
        <f t="shared" si="17"/>
        <v>11666.666666666666</v>
      </c>
    </row>
    <row r="436" spans="1:20" ht="15" hidden="1" customHeight="1">
      <c r="A436" s="1"/>
      <c r="B436" s="16"/>
      <c r="C436" s="69" t="s">
        <v>30</v>
      </c>
      <c r="D436" s="53" t="s">
        <v>31</v>
      </c>
      <c r="E436" s="107"/>
      <c r="F436" s="71"/>
      <c r="G436" s="71"/>
      <c r="H436" s="71"/>
      <c r="I436" s="55">
        <v>0</v>
      </c>
      <c r="J436" s="5">
        <f t="shared" si="17"/>
        <v>0</v>
      </c>
    </row>
    <row r="437" spans="1:20" ht="15.75" hidden="1" customHeight="1">
      <c r="A437" s="1"/>
      <c r="B437" s="16"/>
      <c r="C437" s="69" t="s">
        <v>32</v>
      </c>
      <c r="D437" s="53" t="s">
        <v>111</v>
      </c>
      <c r="E437" s="107">
        <v>25000</v>
      </c>
      <c r="F437" s="71"/>
      <c r="G437" s="71"/>
      <c r="H437" s="71"/>
      <c r="I437" s="55">
        <v>40000</v>
      </c>
      <c r="J437" s="5">
        <f t="shared" si="17"/>
        <v>2083.3333333333335</v>
      </c>
    </row>
    <row r="438" spans="1:20" ht="23.25" hidden="1" customHeight="1">
      <c r="A438" s="1"/>
      <c r="B438" s="16"/>
      <c r="C438" s="69" t="s">
        <v>34</v>
      </c>
      <c r="D438" s="53" t="s">
        <v>35</v>
      </c>
      <c r="E438" s="92">
        <v>18000</v>
      </c>
      <c r="F438" s="71"/>
      <c r="G438" s="71"/>
      <c r="H438" s="71"/>
      <c r="I438" s="55">
        <v>18000</v>
      </c>
      <c r="J438" s="5">
        <f t="shared" si="17"/>
        <v>1500</v>
      </c>
    </row>
    <row r="439" spans="1:20" ht="15" hidden="1" customHeight="1">
      <c r="A439" s="1"/>
      <c r="B439" s="16"/>
      <c r="C439" s="69">
        <v>3110</v>
      </c>
      <c r="D439" s="53" t="s">
        <v>38</v>
      </c>
      <c r="E439" s="92"/>
      <c r="F439" s="71"/>
      <c r="G439" s="71"/>
      <c r="H439" s="71"/>
      <c r="I439" s="55">
        <v>60000</v>
      </c>
      <c r="J439" s="5"/>
    </row>
    <row r="440" spans="1:20" ht="23.25" customHeight="1">
      <c r="A440" s="1"/>
      <c r="B440" s="16"/>
      <c r="C440" s="65" t="s">
        <v>138</v>
      </c>
      <c r="D440" s="66" t="s">
        <v>126</v>
      </c>
      <c r="E440" s="67">
        <v>139092877</v>
      </c>
      <c r="F440" s="67">
        <v>102336567</v>
      </c>
      <c r="G440" s="67">
        <v>94961793.24000001</v>
      </c>
      <c r="H440" s="67">
        <f>(G440/9)*12</f>
        <v>126615724.32000002</v>
      </c>
      <c r="I440" s="108">
        <f>I441+I442</f>
        <v>162234299.96000001</v>
      </c>
      <c r="J440" s="5">
        <v>162544500</v>
      </c>
      <c r="O440" s="8">
        <f>O441+O442</f>
        <v>156324665.96000001</v>
      </c>
      <c r="P440" s="8">
        <f>P441+P442</f>
        <v>189695723.56</v>
      </c>
      <c r="Q440" s="8">
        <f>Q441+Q442</f>
        <v>27891573.428259999</v>
      </c>
      <c r="R440" s="7">
        <f>R441+R442</f>
        <v>162234452.94314</v>
      </c>
    </row>
    <row r="441" spans="1:20" ht="12" customHeight="1">
      <c r="A441" s="1"/>
      <c r="B441" s="16"/>
      <c r="C441" s="69" t="s">
        <v>14</v>
      </c>
      <c r="D441" s="53" t="s">
        <v>15</v>
      </c>
      <c r="E441" s="71">
        <v>111350000</v>
      </c>
      <c r="F441" s="71">
        <v>81924310</v>
      </c>
      <c r="G441" s="71">
        <v>76210593.090000004</v>
      </c>
      <c r="H441" s="71">
        <f>(G441/9)*12</f>
        <v>101614124.12</v>
      </c>
      <c r="I441" s="109">
        <f>I445+I448+I451+I454+I457+I460+I463+I466+I469+I472+I475</f>
        <v>132964868</v>
      </c>
      <c r="J441" s="5"/>
      <c r="O441" s="8">
        <f>I445+I448+I451+I454+I457+I460+I463+I466+I469+I472+I475</f>
        <v>132964868</v>
      </c>
      <c r="P441" s="8">
        <f t="shared" ref="P441:R442" si="18">P445+P448+P451+P454+P457+P460+P463+P466+P469+P472+P475</f>
        <v>155488298</v>
      </c>
      <c r="Q441" s="8">
        <f t="shared" si="18"/>
        <v>22861945.432999998</v>
      </c>
      <c r="R441" s="7">
        <f>R445+R448+R451+R454+R457+R460+R463+R466+R469+R472+R475</f>
        <v>132964989.93699999</v>
      </c>
      <c r="S441" s="28"/>
    </row>
    <row r="442" spans="1:20" ht="12" customHeight="1">
      <c r="A442" s="1"/>
      <c r="B442" s="16"/>
      <c r="C442" s="69" t="s">
        <v>16</v>
      </c>
      <c r="D442" s="53" t="s">
        <v>17</v>
      </c>
      <c r="E442" s="71">
        <v>24496000</v>
      </c>
      <c r="F442" s="71">
        <v>18023390</v>
      </c>
      <c r="G442" s="71">
        <v>16799381.969999999</v>
      </c>
      <c r="H442" s="71">
        <f>(G442/9)*12</f>
        <v>22399175.960000001</v>
      </c>
      <c r="I442" s="109">
        <f>I446+I449+I452+I455+I458+I461+I464+I467+I470+I473+I476</f>
        <v>29269431.960000001</v>
      </c>
      <c r="J442" s="5"/>
      <c r="O442" s="8">
        <f>I446+I449+I452+I455+I458+I461+I464+I470+I473+I476</f>
        <v>23359797.960000001</v>
      </c>
      <c r="P442" s="8">
        <f t="shared" si="18"/>
        <v>34207425.560000002</v>
      </c>
      <c r="Q442" s="8">
        <f t="shared" si="18"/>
        <v>5029627.9952599993</v>
      </c>
      <c r="R442" s="7">
        <f t="shared" si="18"/>
        <v>29269463.006140001</v>
      </c>
    </row>
    <row r="443" spans="1:20" ht="24.75" customHeight="1">
      <c r="A443" s="1"/>
      <c r="B443" s="16"/>
      <c r="C443" s="69" t="s">
        <v>44</v>
      </c>
      <c r="D443" s="53" t="s">
        <v>60</v>
      </c>
      <c r="E443" s="71">
        <v>3246877</v>
      </c>
      <c r="F443" s="71">
        <v>2388867</v>
      </c>
      <c r="G443" s="71">
        <v>1951818.18</v>
      </c>
      <c r="H443" s="71">
        <f>(G443/9)*12</f>
        <v>2602424.2399999998</v>
      </c>
      <c r="I443" s="55"/>
      <c r="J443" s="5"/>
    </row>
    <row r="444" spans="1:20" ht="24.75" hidden="1" customHeight="1">
      <c r="A444" s="1"/>
      <c r="B444" s="16"/>
      <c r="C444" s="65" t="s">
        <v>138</v>
      </c>
      <c r="D444" s="66" t="s">
        <v>127</v>
      </c>
      <c r="E444" s="67"/>
      <c r="F444" s="67"/>
      <c r="G444" s="67"/>
      <c r="H444" s="67"/>
      <c r="I444" s="68">
        <f>I445+I446</f>
        <v>1673498</v>
      </c>
      <c r="J444" s="5"/>
    </row>
    <row r="445" spans="1:20" ht="12" hidden="1" customHeight="1">
      <c r="A445" s="1"/>
      <c r="B445" s="16"/>
      <c r="C445" s="69">
        <v>2111</v>
      </c>
      <c r="D445" s="53" t="s">
        <v>15</v>
      </c>
      <c r="E445" s="71">
        <v>2500000</v>
      </c>
      <c r="F445" s="71"/>
      <c r="G445" s="71"/>
      <c r="H445" s="71"/>
      <c r="I445" s="55">
        <v>1371720</v>
      </c>
      <c r="J445" s="5"/>
      <c r="P445" s="8">
        <v>1610000</v>
      </c>
      <c r="Q445" s="8">
        <f>P445/100*14.8</f>
        <v>238280</v>
      </c>
      <c r="R445" s="7">
        <f>P445-Q445</f>
        <v>1371720</v>
      </c>
      <c r="T445" s="29">
        <v>1610000</v>
      </c>
    </row>
    <row r="446" spans="1:20" ht="12" hidden="1" customHeight="1">
      <c r="A446" s="1"/>
      <c r="B446" s="16"/>
      <c r="C446" s="69">
        <v>2120</v>
      </c>
      <c r="D446" s="53" t="s">
        <v>17</v>
      </c>
      <c r="E446" s="71">
        <v>550000</v>
      </c>
      <c r="F446" s="71"/>
      <c r="G446" s="71"/>
      <c r="H446" s="71"/>
      <c r="I446" s="55">
        <v>301778</v>
      </c>
      <c r="J446" s="27">
        <f t="shared" ref="J446:O446" si="19">J445/100*22</f>
        <v>0</v>
      </c>
      <c r="K446" s="8">
        <f t="shared" si="19"/>
        <v>0</v>
      </c>
      <c r="L446" s="8">
        <f t="shared" si="19"/>
        <v>0</v>
      </c>
      <c r="M446" s="8">
        <f t="shared" si="19"/>
        <v>0</v>
      </c>
      <c r="N446" s="8">
        <f t="shared" si="19"/>
        <v>0</v>
      </c>
      <c r="O446" s="8">
        <f t="shared" si="19"/>
        <v>0</v>
      </c>
      <c r="P446" s="8">
        <f>P445/100*22</f>
        <v>354200</v>
      </c>
      <c r="Q446" s="8">
        <f>P446/100*14.8</f>
        <v>52421.600000000006</v>
      </c>
      <c r="R446" s="7">
        <f t="shared" ref="R446:R476" si="20">P446-Q446</f>
        <v>301778.40000000002</v>
      </c>
      <c r="T446" s="8">
        <f>T445/100*22</f>
        <v>354200</v>
      </c>
    </row>
    <row r="447" spans="1:20" ht="12" hidden="1" customHeight="1">
      <c r="A447" s="1"/>
      <c r="B447" s="16"/>
      <c r="C447" s="65" t="s">
        <v>138</v>
      </c>
      <c r="D447" s="66" t="s">
        <v>139</v>
      </c>
      <c r="E447" s="67"/>
      <c r="F447" s="67"/>
      <c r="G447" s="67"/>
      <c r="H447" s="67"/>
      <c r="I447" s="68">
        <f>I448+I449</f>
        <v>3695910</v>
      </c>
      <c r="J447" s="5"/>
      <c r="Q447" s="8">
        <f>P447/100*14.8</f>
        <v>0</v>
      </c>
      <c r="R447" s="7">
        <f t="shared" si="20"/>
        <v>0</v>
      </c>
    </row>
    <row r="448" spans="1:20" ht="12" hidden="1" customHeight="1">
      <c r="A448" s="1"/>
      <c r="B448" s="16"/>
      <c r="C448" s="69">
        <v>2111</v>
      </c>
      <c r="D448" s="53" t="s">
        <v>15</v>
      </c>
      <c r="E448" s="71"/>
      <c r="F448" s="71"/>
      <c r="G448" s="71"/>
      <c r="H448" s="71"/>
      <c r="I448" s="55">
        <v>3029430</v>
      </c>
      <c r="J448" s="5"/>
      <c r="O448" s="8">
        <v>3885764</v>
      </c>
      <c r="P448" s="8">
        <v>3555627</v>
      </c>
      <c r="Q448" s="8">
        <f>P448/100*14.8</f>
        <v>526232.79599999997</v>
      </c>
      <c r="R448" s="7">
        <f t="shared" si="20"/>
        <v>3029394.2039999999</v>
      </c>
      <c r="T448" s="8">
        <v>3885764</v>
      </c>
    </row>
    <row r="449" spans="1:20" ht="12" hidden="1" customHeight="1">
      <c r="A449" s="1"/>
      <c r="B449" s="16"/>
      <c r="C449" s="69">
        <v>2120</v>
      </c>
      <c r="D449" s="53" t="s">
        <v>17</v>
      </c>
      <c r="E449" s="71"/>
      <c r="F449" s="71"/>
      <c r="G449" s="71"/>
      <c r="H449" s="71"/>
      <c r="I449" s="55">
        <v>666480</v>
      </c>
      <c r="J449" s="27">
        <f t="shared" ref="J449:P449" si="21">J448/100*22</f>
        <v>0</v>
      </c>
      <c r="K449" s="8">
        <f t="shared" si="21"/>
        <v>0</v>
      </c>
      <c r="L449" s="8">
        <f t="shared" si="21"/>
        <v>0</v>
      </c>
      <c r="M449" s="8">
        <f t="shared" si="21"/>
        <v>0</v>
      </c>
      <c r="N449" s="8">
        <f t="shared" si="21"/>
        <v>0</v>
      </c>
      <c r="O449" s="8">
        <f t="shared" si="21"/>
        <v>854868.08</v>
      </c>
      <c r="P449" s="8">
        <f t="shared" si="21"/>
        <v>782237.94</v>
      </c>
      <c r="Q449" s="8">
        <f>P449/100*14.8</f>
        <v>115771.21512000001</v>
      </c>
      <c r="R449" s="7">
        <f t="shared" si="20"/>
        <v>666466.72487999988</v>
      </c>
      <c r="T449" s="8">
        <f>T448/100*22</f>
        <v>854868.08</v>
      </c>
    </row>
    <row r="450" spans="1:20" ht="22.5" hidden="1" customHeight="1">
      <c r="A450" s="1"/>
      <c r="B450" s="16"/>
      <c r="C450" s="65" t="s">
        <v>138</v>
      </c>
      <c r="D450" s="66" t="s">
        <v>129</v>
      </c>
      <c r="E450" s="67"/>
      <c r="F450" s="67"/>
      <c r="G450" s="67"/>
      <c r="H450" s="67"/>
      <c r="I450" s="68">
        <f>I451+I452</f>
        <v>20777840</v>
      </c>
      <c r="J450" s="5"/>
      <c r="Q450" s="8">
        <f t="shared" ref="Q450:Q476" si="22">P450/100*14.7</f>
        <v>0</v>
      </c>
      <c r="R450" s="7">
        <f t="shared" si="20"/>
        <v>0</v>
      </c>
    </row>
    <row r="451" spans="1:20" ht="12" hidden="1" customHeight="1">
      <c r="A451" s="1"/>
      <c r="B451" s="16"/>
      <c r="C451" s="69">
        <v>2111</v>
      </c>
      <c r="D451" s="53" t="s">
        <v>15</v>
      </c>
      <c r="E451" s="71">
        <v>20239000</v>
      </c>
      <c r="F451" s="71"/>
      <c r="G451" s="71"/>
      <c r="H451" s="71"/>
      <c r="I451" s="55">
        <v>17031016</v>
      </c>
      <c r="J451" s="5"/>
      <c r="O451" s="8">
        <v>21687289</v>
      </c>
      <c r="P451" s="8">
        <v>19966021</v>
      </c>
      <c r="Q451" s="8">
        <f t="shared" si="22"/>
        <v>2935005.0869999998</v>
      </c>
      <c r="R451" s="7">
        <f t="shared" si="20"/>
        <v>17031015.912999999</v>
      </c>
      <c r="T451" s="8">
        <v>21687289</v>
      </c>
    </row>
    <row r="452" spans="1:20" ht="12" hidden="1" customHeight="1">
      <c r="A452" s="1"/>
      <c r="B452" s="16"/>
      <c r="C452" s="69">
        <v>2120</v>
      </c>
      <c r="D452" s="53" t="s">
        <v>17</v>
      </c>
      <c r="E452" s="71">
        <v>4452600</v>
      </c>
      <c r="F452" s="71"/>
      <c r="G452" s="71"/>
      <c r="H452" s="71"/>
      <c r="I452" s="55">
        <v>3746824</v>
      </c>
      <c r="J452" s="27">
        <f t="shared" ref="J452:P452" si="23">J451/100*22</f>
        <v>0</v>
      </c>
      <c r="K452" s="8">
        <f t="shared" si="23"/>
        <v>0</v>
      </c>
      <c r="L452" s="8">
        <f t="shared" si="23"/>
        <v>0</v>
      </c>
      <c r="M452" s="8">
        <f t="shared" si="23"/>
        <v>0</v>
      </c>
      <c r="N452" s="8">
        <f t="shared" si="23"/>
        <v>0</v>
      </c>
      <c r="O452" s="8">
        <f t="shared" si="23"/>
        <v>4771203.58</v>
      </c>
      <c r="P452" s="8">
        <f t="shared" si="23"/>
        <v>4392524.62</v>
      </c>
      <c r="Q452" s="8">
        <f t="shared" si="22"/>
        <v>645701.11913999997</v>
      </c>
      <c r="R452" s="7">
        <f t="shared" si="20"/>
        <v>3746823.50086</v>
      </c>
      <c r="T452" s="8">
        <f>T451/100*22</f>
        <v>4771203.58</v>
      </c>
    </row>
    <row r="453" spans="1:20" ht="13.5" hidden="1" customHeight="1">
      <c r="A453" s="1"/>
      <c r="B453" s="16"/>
      <c r="C453" s="65" t="s">
        <v>138</v>
      </c>
      <c r="D453" s="66" t="s">
        <v>130</v>
      </c>
      <c r="E453" s="67"/>
      <c r="F453" s="67"/>
      <c r="G453" s="67"/>
      <c r="H453" s="67"/>
      <c r="I453" s="68">
        <f>I454+I455</f>
        <v>29705912</v>
      </c>
      <c r="J453" s="5"/>
      <c r="Q453" s="8">
        <f t="shared" si="22"/>
        <v>0</v>
      </c>
      <c r="R453" s="7">
        <f t="shared" si="20"/>
        <v>0</v>
      </c>
    </row>
    <row r="454" spans="1:20" ht="12" hidden="1" customHeight="1">
      <c r="A454" s="1"/>
      <c r="B454" s="16"/>
      <c r="C454" s="69">
        <v>2111</v>
      </c>
      <c r="D454" s="53" t="s">
        <v>15</v>
      </c>
      <c r="E454" s="71">
        <v>26661000</v>
      </c>
      <c r="F454" s="71"/>
      <c r="G454" s="71"/>
      <c r="H454" s="71"/>
      <c r="I454" s="55">
        <v>24349108</v>
      </c>
      <c r="J454" s="5"/>
      <c r="O454" s="8">
        <v>29936263</v>
      </c>
      <c r="P454" s="8">
        <v>28545262</v>
      </c>
      <c r="Q454" s="8">
        <f t="shared" si="22"/>
        <v>4196153.5139999995</v>
      </c>
      <c r="R454" s="7">
        <f t="shared" si="20"/>
        <v>24349108.486000001</v>
      </c>
      <c r="T454" s="8">
        <v>29936263</v>
      </c>
    </row>
    <row r="455" spans="1:20" ht="12" hidden="1" customHeight="1">
      <c r="A455" s="1"/>
      <c r="B455" s="16"/>
      <c r="C455" s="69">
        <v>2120</v>
      </c>
      <c r="D455" s="53" t="s">
        <v>17</v>
      </c>
      <c r="E455" s="71">
        <v>5865500</v>
      </c>
      <c r="F455" s="71"/>
      <c r="G455" s="71"/>
      <c r="H455" s="71"/>
      <c r="I455" s="55">
        <v>5356804</v>
      </c>
      <c r="J455" s="27">
        <f t="shared" ref="J455:P455" si="24">J454/100*22</f>
        <v>0</v>
      </c>
      <c r="K455" s="8">
        <f t="shared" si="24"/>
        <v>0</v>
      </c>
      <c r="L455" s="8">
        <f t="shared" si="24"/>
        <v>0</v>
      </c>
      <c r="M455" s="8">
        <f t="shared" si="24"/>
        <v>0</v>
      </c>
      <c r="N455" s="8">
        <f t="shared" si="24"/>
        <v>0</v>
      </c>
      <c r="O455" s="8">
        <f t="shared" si="24"/>
        <v>6585977.8600000003</v>
      </c>
      <c r="P455" s="8">
        <f t="shared" si="24"/>
        <v>6279957.6399999997</v>
      </c>
      <c r="Q455" s="8">
        <f t="shared" si="22"/>
        <v>923153.77307999996</v>
      </c>
      <c r="R455" s="7">
        <f t="shared" si="20"/>
        <v>5356803.8669199999</v>
      </c>
      <c r="T455" s="8">
        <f>T454/100*22</f>
        <v>6585977.8600000003</v>
      </c>
    </row>
    <row r="456" spans="1:20" ht="22.5" hidden="1" customHeight="1">
      <c r="A456" s="1"/>
      <c r="B456" s="16"/>
      <c r="C456" s="65" t="s">
        <v>138</v>
      </c>
      <c r="D456" s="66" t="s">
        <v>131</v>
      </c>
      <c r="E456" s="67"/>
      <c r="F456" s="67"/>
      <c r="G456" s="67"/>
      <c r="H456" s="67"/>
      <c r="I456" s="68">
        <f>I457+I458</f>
        <v>13818953</v>
      </c>
      <c r="J456" s="5"/>
      <c r="Q456" s="8">
        <f t="shared" si="22"/>
        <v>0</v>
      </c>
      <c r="R456" s="7">
        <f t="shared" si="20"/>
        <v>0</v>
      </c>
    </row>
    <row r="457" spans="1:20" ht="12" hidden="1" customHeight="1">
      <c r="A457" s="1"/>
      <c r="B457" s="16"/>
      <c r="C457" s="69">
        <v>2111</v>
      </c>
      <c r="D457" s="53" t="s">
        <v>15</v>
      </c>
      <c r="E457" s="71">
        <v>14860000</v>
      </c>
      <c r="F457" s="71"/>
      <c r="G457" s="71"/>
      <c r="H457" s="71"/>
      <c r="I457" s="55">
        <v>11327011</v>
      </c>
      <c r="J457" s="5"/>
      <c r="O457" s="8">
        <v>14502243</v>
      </c>
      <c r="P457" s="8">
        <v>13279028</v>
      </c>
      <c r="Q457" s="8">
        <f t="shared" si="22"/>
        <v>1952017.1159999999</v>
      </c>
      <c r="R457" s="7">
        <f t="shared" si="20"/>
        <v>11327010.884</v>
      </c>
      <c r="T457" s="8">
        <v>14502243</v>
      </c>
    </row>
    <row r="458" spans="1:20" ht="12" hidden="1" customHeight="1">
      <c r="A458" s="1"/>
      <c r="B458" s="16"/>
      <c r="C458" s="69">
        <v>2120</v>
      </c>
      <c r="D458" s="53" t="s">
        <v>17</v>
      </c>
      <c r="E458" s="71">
        <v>3269300</v>
      </c>
      <c r="F458" s="71"/>
      <c r="G458" s="71"/>
      <c r="H458" s="71"/>
      <c r="I458" s="55">
        <v>2491942</v>
      </c>
      <c r="J458" s="27">
        <f t="shared" ref="J458:P458" si="25">J457/100*22</f>
        <v>0</v>
      </c>
      <c r="K458" s="8">
        <f t="shared" si="25"/>
        <v>0</v>
      </c>
      <c r="L458" s="8">
        <f t="shared" si="25"/>
        <v>0</v>
      </c>
      <c r="M458" s="8">
        <f t="shared" si="25"/>
        <v>0</v>
      </c>
      <c r="N458" s="8">
        <f t="shared" si="25"/>
        <v>0</v>
      </c>
      <c r="O458" s="8">
        <f t="shared" si="25"/>
        <v>3190493.46</v>
      </c>
      <c r="P458" s="8">
        <f t="shared" si="25"/>
        <v>2921386.16</v>
      </c>
      <c r="Q458" s="8">
        <f t="shared" si="22"/>
        <v>429443.76551999996</v>
      </c>
      <c r="R458" s="7">
        <f t="shared" si="20"/>
        <v>2491942.3944800003</v>
      </c>
      <c r="T458" s="8">
        <f>T457/100*22</f>
        <v>3190493.46</v>
      </c>
    </row>
    <row r="459" spans="1:20" ht="22.5" hidden="1" customHeight="1">
      <c r="A459" s="1"/>
      <c r="B459" s="16"/>
      <c r="C459" s="65" t="s">
        <v>138</v>
      </c>
      <c r="D459" s="66" t="s">
        <v>132</v>
      </c>
      <c r="E459" s="67"/>
      <c r="F459" s="67"/>
      <c r="G459" s="67"/>
      <c r="H459" s="67"/>
      <c r="I459" s="68">
        <f>I460+I461</f>
        <v>14022931</v>
      </c>
      <c r="J459" s="5"/>
      <c r="Q459" s="8">
        <f t="shared" si="22"/>
        <v>0</v>
      </c>
      <c r="R459" s="7">
        <f t="shared" si="20"/>
        <v>0</v>
      </c>
    </row>
    <row r="460" spans="1:20" ht="12" hidden="1" customHeight="1">
      <c r="A460" s="1"/>
      <c r="B460" s="16"/>
      <c r="C460" s="69">
        <v>2111</v>
      </c>
      <c r="D460" s="53" t="s">
        <v>15</v>
      </c>
      <c r="E460" s="71">
        <v>14688000</v>
      </c>
      <c r="F460" s="71"/>
      <c r="G460" s="71"/>
      <c r="H460" s="71"/>
      <c r="I460" s="55">
        <v>11494214</v>
      </c>
      <c r="J460" s="5"/>
      <c r="O460" s="8">
        <v>14655720</v>
      </c>
      <c r="P460" s="8">
        <v>13475229</v>
      </c>
      <c r="Q460" s="8">
        <f t="shared" si="22"/>
        <v>1980858.6629999999</v>
      </c>
      <c r="R460" s="7">
        <f t="shared" si="20"/>
        <v>11494370.336999999</v>
      </c>
      <c r="T460" s="8">
        <v>14655720</v>
      </c>
    </row>
    <row r="461" spans="1:20" ht="12" hidden="1" customHeight="1">
      <c r="A461" s="1"/>
      <c r="B461" s="16"/>
      <c r="C461" s="69">
        <v>2120</v>
      </c>
      <c r="D461" s="53" t="s">
        <v>17</v>
      </c>
      <c r="E461" s="71">
        <v>3231500</v>
      </c>
      <c r="F461" s="71"/>
      <c r="G461" s="71"/>
      <c r="H461" s="71"/>
      <c r="I461" s="55">
        <v>2528717</v>
      </c>
      <c r="J461" s="27">
        <f t="shared" ref="J461:P461" si="26">J460/100*22</f>
        <v>0</v>
      </c>
      <c r="K461" s="8">
        <f t="shared" si="26"/>
        <v>0</v>
      </c>
      <c r="L461" s="8">
        <f t="shared" si="26"/>
        <v>0</v>
      </c>
      <c r="M461" s="8">
        <f t="shared" si="26"/>
        <v>0</v>
      </c>
      <c r="N461" s="8">
        <f t="shared" si="26"/>
        <v>0</v>
      </c>
      <c r="O461" s="8">
        <f t="shared" si="26"/>
        <v>3224258.4000000004</v>
      </c>
      <c r="P461" s="8">
        <f t="shared" si="26"/>
        <v>2964550.3800000004</v>
      </c>
      <c r="Q461" s="8">
        <f t="shared" si="22"/>
        <v>435788.90586</v>
      </c>
      <c r="R461" s="7">
        <f t="shared" si="20"/>
        <v>2528761.4741400005</v>
      </c>
      <c r="T461" s="8">
        <f>T460/100*22</f>
        <v>3224258.4000000004</v>
      </c>
    </row>
    <row r="462" spans="1:20" ht="22.5" hidden="1" customHeight="1">
      <c r="A462" s="1"/>
      <c r="B462" s="16"/>
      <c r="C462" s="65" t="s">
        <v>138</v>
      </c>
      <c r="D462" s="66" t="s">
        <v>133</v>
      </c>
      <c r="E462" s="67"/>
      <c r="F462" s="67"/>
      <c r="G462" s="67"/>
      <c r="H462" s="67"/>
      <c r="I462" s="68">
        <f>I463+I464</f>
        <v>14426638</v>
      </c>
      <c r="J462" s="5"/>
      <c r="Q462" s="8">
        <f t="shared" si="22"/>
        <v>0</v>
      </c>
      <c r="R462" s="7">
        <f t="shared" si="20"/>
        <v>0</v>
      </c>
    </row>
    <row r="463" spans="1:20" ht="12" hidden="1" customHeight="1">
      <c r="A463" s="1"/>
      <c r="B463" s="16"/>
      <c r="C463" s="69">
        <v>2111</v>
      </c>
      <c r="D463" s="53" t="s">
        <v>15</v>
      </c>
      <c r="E463" s="71">
        <v>14569000</v>
      </c>
      <c r="F463" s="71"/>
      <c r="G463" s="71"/>
      <c r="H463" s="71"/>
      <c r="I463" s="55">
        <v>11825113</v>
      </c>
      <c r="J463" s="5"/>
      <c r="O463" s="8">
        <v>15097321</v>
      </c>
      <c r="P463" s="8">
        <v>13862970</v>
      </c>
      <c r="Q463" s="8">
        <f t="shared" si="22"/>
        <v>2037856.59</v>
      </c>
      <c r="R463" s="7">
        <f t="shared" si="20"/>
        <v>11825113.41</v>
      </c>
      <c r="T463" s="8">
        <v>15097321</v>
      </c>
    </row>
    <row r="464" spans="1:20" ht="12" hidden="1" customHeight="1">
      <c r="A464" s="1"/>
      <c r="B464" s="16"/>
      <c r="C464" s="69">
        <v>2120</v>
      </c>
      <c r="D464" s="53" t="s">
        <v>17</v>
      </c>
      <c r="E464" s="71">
        <v>3205200</v>
      </c>
      <c r="F464" s="71"/>
      <c r="G464" s="71"/>
      <c r="H464" s="71"/>
      <c r="I464" s="55">
        <v>2601525</v>
      </c>
      <c r="J464" s="27">
        <f t="shared" ref="J464:P464" si="27">J463/100*22</f>
        <v>0</v>
      </c>
      <c r="K464" s="8">
        <f t="shared" si="27"/>
        <v>0</v>
      </c>
      <c r="L464" s="8">
        <f t="shared" si="27"/>
        <v>0</v>
      </c>
      <c r="M464" s="8">
        <f t="shared" si="27"/>
        <v>0</v>
      </c>
      <c r="N464" s="8">
        <f t="shared" si="27"/>
        <v>0</v>
      </c>
      <c r="O464" s="8">
        <f t="shared" si="27"/>
        <v>3321410.6199999996</v>
      </c>
      <c r="P464" s="8">
        <f t="shared" si="27"/>
        <v>3049853.4000000004</v>
      </c>
      <c r="Q464" s="8">
        <f t="shared" si="22"/>
        <v>448328.4498</v>
      </c>
      <c r="R464" s="7">
        <f t="shared" si="20"/>
        <v>2601524.9502000003</v>
      </c>
      <c r="T464" s="8">
        <f>T463/100*22</f>
        <v>3321410.6199999996</v>
      </c>
    </row>
    <row r="465" spans="1:20" ht="22.5" hidden="1" customHeight="1">
      <c r="A465" s="1"/>
      <c r="B465" s="16"/>
      <c r="C465" s="65" t="s">
        <v>138</v>
      </c>
      <c r="D465" s="66" t="s">
        <v>134</v>
      </c>
      <c r="E465" s="67"/>
      <c r="F465" s="67"/>
      <c r="G465" s="67"/>
      <c r="H465" s="67"/>
      <c r="I465" s="68">
        <f>I466+I467</f>
        <v>32693583</v>
      </c>
      <c r="J465" s="5"/>
      <c r="Q465" s="8">
        <f t="shared" si="22"/>
        <v>0</v>
      </c>
      <c r="R465" s="7">
        <f t="shared" si="20"/>
        <v>0</v>
      </c>
    </row>
    <row r="466" spans="1:20" ht="12" hidden="1" customHeight="1">
      <c r="A466" s="1"/>
      <c r="B466" s="16"/>
      <c r="C466" s="69">
        <v>2111</v>
      </c>
      <c r="D466" s="53" t="s">
        <v>15</v>
      </c>
      <c r="E466" s="71">
        <v>31216480</v>
      </c>
      <c r="F466" s="71"/>
      <c r="G466" s="71"/>
      <c r="H466" s="71"/>
      <c r="I466" s="91">
        <v>26783949</v>
      </c>
      <c r="J466" s="5"/>
      <c r="O466" s="31">
        <v>33351720</v>
      </c>
      <c r="P466" s="8">
        <v>31002710</v>
      </c>
      <c r="Q466" s="8">
        <f t="shared" si="22"/>
        <v>4557398.3699999992</v>
      </c>
      <c r="R466" s="7">
        <v>26783949</v>
      </c>
      <c r="T466" s="31">
        <v>33351720</v>
      </c>
    </row>
    <row r="467" spans="1:20" ht="12" hidden="1" customHeight="1">
      <c r="A467" s="1"/>
      <c r="B467" s="16"/>
      <c r="C467" s="69">
        <v>2120</v>
      </c>
      <c r="D467" s="53" t="s">
        <v>17</v>
      </c>
      <c r="E467" s="71">
        <v>6856120</v>
      </c>
      <c r="F467" s="71"/>
      <c r="G467" s="71"/>
      <c r="H467" s="71"/>
      <c r="I467" s="55">
        <v>5909634</v>
      </c>
      <c r="J467" s="27">
        <f t="shared" ref="J467:P467" si="28">J466/100*22</f>
        <v>0</v>
      </c>
      <c r="K467" s="8">
        <f t="shared" si="28"/>
        <v>0</v>
      </c>
      <c r="L467" s="8">
        <f t="shared" si="28"/>
        <v>0</v>
      </c>
      <c r="M467" s="8">
        <f t="shared" si="28"/>
        <v>0</v>
      </c>
      <c r="N467" s="8">
        <f t="shared" si="28"/>
        <v>0</v>
      </c>
      <c r="O467" s="8">
        <f t="shared" si="28"/>
        <v>7337378.4000000004</v>
      </c>
      <c r="P467" s="8">
        <f t="shared" si="28"/>
        <v>6820596.1999999993</v>
      </c>
      <c r="Q467" s="8">
        <f t="shared" si="22"/>
        <v>1002627.6414</v>
      </c>
      <c r="R467" s="7">
        <v>5909634</v>
      </c>
      <c r="T467" s="8">
        <f>T466/100*22</f>
        <v>7337378.4000000004</v>
      </c>
    </row>
    <row r="468" spans="1:20" ht="25.5" hidden="1" customHeight="1">
      <c r="A468" s="1"/>
      <c r="B468" s="16"/>
      <c r="C468" s="65" t="s">
        <v>138</v>
      </c>
      <c r="D468" s="66" t="s">
        <v>135</v>
      </c>
      <c r="E468" s="67"/>
      <c r="F468" s="67"/>
      <c r="G468" s="67"/>
      <c r="H468" s="67"/>
      <c r="I468" s="68">
        <f>I469+I470</f>
        <v>11612093</v>
      </c>
      <c r="J468" s="5"/>
      <c r="Q468" s="8">
        <f t="shared" si="22"/>
        <v>0</v>
      </c>
      <c r="R468" s="7">
        <f t="shared" si="20"/>
        <v>0</v>
      </c>
    </row>
    <row r="469" spans="1:20" ht="12" hidden="1" customHeight="1">
      <c r="A469" s="1"/>
      <c r="B469" s="16"/>
      <c r="C469" s="69">
        <v>2111</v>
      </c>
      <c r="D469" s="53" t="s">
        <v>15</v>
      </c>
      <c r="E469" s="71">
        <v>7068000</v>
      </c>
      <c r="F469" s="71"/>
      <c r="G469" s="71"/>
      <c r="H469" s="71"/>
      <c r="I469" s="55">
        <v>9518109</v>
      </c>
      <c r="J469" s="5"/>
      <c r="O469" s="8">
        <v>12107144</v>
      </c>
      <c r="P469" s="8">
        <v>11158393</v>
      </c>
      <c r="Q469" s="8">
        <f t="shared" si="22"/>
        <v>1640283.7709999997</v>
      </c>
      <c r="R469" s="7">
        <f t="shared" si="20"/>
        <v>9518109.2290000003</v>
      </c>
      <c r="T469" s="8">
        <v>12107144</v>
      </c>
    </row>
    <row r="470" spans="1:20" ht="12" hidden="1" customHeight="1">
      <c r="A470" s="1"/>
      <c r="B470" s="16"/>
      <c r="C470" s="69">
        <v>2120</v>
      </c>
      <c r="D470" s="53" t="s">
        <v>17</v>
      </c>
      <c r="E470" s="71">
        <v>1555000</v>
      </c>
      <c r="F470" s="71"/>
      <c r="G470" s="71"/>
      <c r="H470" s="71"/>
      <c r="I470" s="55">
        <v>2093984</v>
      </c>
      <c r="J470" s="27">
        <f t="shared" ref="J470:P470" si="29">J469/100*22</f>
        <v>0</v>
      </c>
      <c r="K470" s="8">
        <f t="shared" si="29"/>
        <v>0</v>
      </c>
      <c r="L470" s="8">
        <f t="shared" si="29"/>
        <v>0</v>
      </c>
      <c r="M470" s="8">
        <f t="shared" si="29"/>
        <v>0</v>
      </c>
      <c r="N470" s="8">
        <f t="shared" si="29"/>
        <v>0</v>
      </c>
      <c r="O470" s="8">
        <f t="shared" si="29"/>
        <v>2663571.6800000002</v>
      </c>
      <c r="P470" s="8">
        <f t="shared" si="29"/>
        <v>2454846.46</v>
      </c>
      <c r="Q470" s="8">
        <f t="shared" si="22"/>
        <v>360862.42961999995</v>
      </c>
      <c r="R470" s="7">
        <f t="shared" si="20"/>
        <v>2093984.0303799999</v>
      </c>
      <c r="T470" s="8">
        <f>T469/100*22</f>
        <v>2663571.6800000002</v>
      </c>
    </row>
    <row r="471" spans="1:20" ht="21.75" hidden="1" customHeight="1">
      <c r="A471" s="1"/>
      <c r="B471" s="16"/>
      <c r="C471" s="65" t="s">
        <v>138</v>
      </c>
      <c r="D471" s="66" t="s">
        <v>136</v>
      </c>
      <c r="E471" s="67"/>
      <c r="F471" s="67"/>
      <c r="G471" s="67"/>
      <c r="H471" s="67"/>
      <c r="I471" s="68">
        <f>I472+I473</f>
        <v>4883758</v>
      </c>
      <c r="J471" s="5"/>
      <c r="Q471" s="8">
        <f t="shared" si="22"/>
        <v>0</v>
      </c>
      <c r="R471" s="7">
        <f t="shared" si="20"/>
        <v>0</v>
      </c>
    </row>
    <row r="472" spans="1:20" ht="12" hidden="1" customHeight="1">
      <c r="A472" s="1"/>
      <c r="B472" s="16"/>
      <c r="C472" s="69">
        <v>2111</v>
      </c>
      <c r="D472" s="53" t="s">
        <v>15</v>
      </c>
      <c r="E472" s="71">
        <v>5865000</v>
      </c>
      <c r="F472" s="71"/>
      <c r="G472" s="71"/>
      <c r="H472" s="71"/>
      <c r="I472" s="55">
        <v>4003080</v>
      </c>
      <c r="J472" s="5"/>
      <c r="O472" s="8">
        <v>5094229</v>
      </c>
      <c r="P472" s="8">
        <v>4692943</v>
      </c>
      <c r="Q472" s="8">
        <f t="shared" si="22"/>
        <v>689862.62099999993</v>
      </c>
      <c r="R472" s="7">
        <f t="shared" si="20"/>
        <v>4003080.3790000002</v>
      </c>
      <c r="T472" s="8">
        <v>5094229</v>
      </c>
    </row>
    <row r="473" spans="1:20" ht="12" hidden="1" customHeight="1">
      <c r="A473" s="1"/>
      <c r="B473" s="16"/>
      <c r="C473" s="69">
        <v>2120</v>
      </c>
      <c r="D473" s="53" t="s">
        <v>17</v>
      </c>
      <c r="E473" s="71">
        <v>1290400</v>
      </c>
      <c r="F473" s="71"/>
      <c r="G473" s="71"/>
      <c r="H473" s="71"/>
      <c r="I473" s="55">
        <v>880678</v>
      </c>
      <c r="J473" s="27">
        <f t="shared" ref="J473:P473" si="30">J472/100*22</f>
        <v>0</v>
      </c>
      <c r="K473" s="8">
        <f t="shared" si="30"/>
        <v>0</v>
      </c>
      <c r="L473" s="8">
        <f t="shared" si="30"/>
        <v>0</v>
      </c>
      <c r="M473" s="8">
        <f t="shared" si="30"/>
        <v>0</v>
      </c>
      <c r="N473" s="8">
        <f t="shared" si="30"/>
        <v>0</v>
      </c>
      <c r="O473" s="8">
        <f t="shared" si="30"/>
        <v>1120730.3800000001</v>
      </c>
      <c r="P473" s="8">
        <f t="shared" si="30"/>
        <v>1032447.46</v>
      </c>
      <c r="Q473" s="8">
        <f t="shared" si="22"/>
        <v>151769.77661999999</v>
      </c>
      <c r="R473" s="7">
        <f t="shared" si="20"/>
        <v>880677.68337999994</v>
      </c>
      <c r="T473" s="8">
        <f>T472/100*22</f>
        <v>1120730.3800000001</v>
      </c>
    </row>
    <row r="474" spans="1:20" ht="17.25" hidden="1" customHeight="1">
      <c r="A474" s="1"/>
      <c r="B474" s="16"/>
      <c r="C474" s="65" t="s">
        <v>138</v>
      </c>
      <c r="D474" s="110" t="s">
        <v>137</v>
      </c>
      <c r="E474" s="67"/>
      <c r="F474" s="67"/>
      <c r="G474" s="67"/>
      <c r="H474" s="67"/>
      <c r="I474" s="68">
        <f>I475+I476</f>
        <v>14923183.960000001</v>
      </c>
      <c r="J474" s="5"/>
      <c r="Q474" s="8">
        <f t="shared" si="22"/>
        <v>0</v>
      </c>
      <c r="R474" s="7">
        <f t="shared" si="20"/>
        <v>0</v>
      </c>
    </row>
    <row r="475" spans="1:20" ht="12" hidden="1" customHeight="1">
      <c r="A475" s="1"/>
      <c r="B475" s="16"/>
      <c r="C475" s="69">
        <v>2111</v>
      </c>
      <c r="D475" s="53" t="s">
        <v>15</v>
      </c>
      <c r="E475" s="71">
        <v>14817000</v>
      </c>
      <c r="F475" s="71"/>
      <c r="G475" s="71"/>
      <c r="H475" s="71"/>
      <c r="I475" s="55">
        <v>12232118</v>
      </c>
      <c r="J475" s="30">
        <v>14240000</v>
      </c>
      <c r="K475" s="31">
        <v>14240000</v>
      </c>
      <c r="L475" s="31">
        <v>14240000</v>
      </c>
      <c r="M475" s="31">
        <v>14240000</v>
      </c>
      <c r="N475" s="31">
        <v>14240000</v>
      </c>
      <c r="O475" s="8">
        <v>15649970</v>
      </c>
      <c r="P475" s="8">
        <v>14340115</v>
      </c>
      <c r="Q475" s="8">
        <f t="shared" si="22"/>
        <v>2107996.9049999998</v>
      </c>
      <c r="R475" s="7">
        <f t="shared" si="20"/>
        <v>12232118.095000001</v>
      </c>
      <c r="T475" s="8">
        <v>15649970</v>
      </c>
    </row>
    <row r="476" spans="1:20" ht="12" hidden="1" customHeight="1">
      <c r="A476" s="1"/>
      <c r="B476" s="16"/>
      <c r="C476" s="69">
        <v>2120</v>
      </c>
      <c r="D476" s="53" t="s">
        <v>17</v>
      </c>
      <c r="E476" s="71">
        <v>3259900</v>
      </c>
      <c r="F476" s="71"/>
      <c r="G476" s="71"/>
      <c r="H476" s="71"/>
      <c r="I476" s="55">
        <f t="shared" ref="I476:P476" si="31">I475/100*22</f>
        <v>2691065.96</v>
      </c>
      <c r="J476" s="27">
        <f t="shared" si="31"/>
        <v>3132800</v>
      </c>
      <c r="K476" s="8">
        <f t="shared" si="31"/>
        <v>3132800</v>
      </c>
      <c r="L476" s="8">
        <f t="shared" si="31"/>
        <v>3132800</v>
      </c>
      <c r="M476" s="8">
        <f t="shared" si="31"/>
        <v>3132800</v>
      </c>
      <c r="N476" s="8">
        <f t="shared" si="31"/>
        <v>3132800</v>
      </c>
      <c r="O476" s="8">
        <f t="shared" si="31"/>
        <v>3442993.4000000004</v>
      </c>
      <c r="P476" s="8">
        <f t="shared" si="31"/>
        <v>3154825.3</v>
      </c>
      <c r="Q476" s="8">
        <f t="shared" si="22"/>
        <v>463759.31909999991</v>
      </c>
      <c r="R476" s="7">
        <f t="shared" si="20"/>
        <v>2691065.9808999998</v>
      </c>
      <c r="T476" s="8">
        <f>T475/100*22</f>
        <v>3442993.4000000004</v>
      </c>
    </row>
    <row r="477" spans="1:20" ht="24" customHeight="1">
      <c r="A477" s="1"/>
      <c r="B477" s="16"/>
      <c r="C477" s="65" t="s">
        <v>140</v>
      </c>
      <c r="D477" s="66" t="s">
        <v>141</v>
      </c>
      <c r="E477" s="67">
        <v>15405700</v>
      </c>
      <c r="F477" s="67">
        <v>11553690</v>
      </c>
      <c r="G477" s="67">
        <v>7252625.620000001</v>
      </c>
      <c r="H477" s="67">
        <f t="shared" ref="H477:H487" si="32">(G477/9)*12</f>
        <v>9670167.4933333341</v>
      </c>
      <c r="I477" s="108">
        <f>I478+I479+I480+I481+I482+I483+I484+I485+I486+I487+I488</f>
        <v>14306262</v>
      </c>
      <c r="J477" s="5"/>
    </row>
    <row r="478" spans="1:20" ht="12" customHeight="1">
      <c r="A478" s="1"/>
      <c r="B478" s="16"/>
      <c r="C478" s="69" t="s">
        <v>14</v>
      </c>
      <c r="D478" s="53" t="s">
        <v>15</v>
      </c>
      <c r="E478" s="71">
        <v>9557000</v>
      </c>
      <c r="F478" s="71">
        <v>7169000</v>
      </c>
      <c r="G478" s="71">
        <v>5742063.9800000004</v>
      </c>
      <c r="H478" s="71">
        <f t="shared" si="32"/>
        <v>7656085.3066666676</v>
      </c>
      <c r="I478" s="109">
        <f>I490+I504</f>
        <v>10494254</v>
      </c>
      <c r="J478" s="5">
        <f>E478/12</f>
        <v>796416.66666666663</v>
      </c>
      <c r="K478" s="6">
        <f>J478*1.031</f>
        <v>821105.58333333326</v>
      </c>
      <c r="L478" s="6">
        <f>(J478*9)+(K478*3)</f>
        <v>9631066.75</v>
      </c>
      <c r="M478" s="6">
        <f>I478-L478</f>
        <v>863187.25</v>
      </c>
      <c r="N478" s="7">
        <f>L478*1.084</f>
        <v>10440076.357000001</v>
      </c>
    </row>
    <row r="479" spans="1:20" ht="12" customHeight="1">
      <c r="A479" s="1"/>
      <c r="B479" s="16"/>
      <c r="C479" s="69" t="s">
        <v>16</v>
      </c>
      <c r="D479" s="53" t="s">
        <v>17</v>
      </c>
      <c r="E479" s="71">
        <v>2102700</v>
      </c>
      <c r="F479" s="71">
        <v>1577340</v>
      </c>
      <c r="G479" s="71">
        <v>1265418.31</v>
      </c>
      <c r="H479" s="71">
        <f t="shared" si="32"/>
        <v>1687224.4133333336</v>
      </c>
      <c r="I479" s="109">
        <f>I491+I505</f>
        <v>2360008</v>
      </c>
      <c r="J479" s="5">
        <f>E479/12</f>
        <v>175225</v>
      </c>
      <c r="K479" s="6">
        <f>J479*1.031</f>
        <v>180656.97499999998</v>
      </c>
      <c r="L479" s="6">
        <f>(J479*9)+(K479*3)</f>
        <v>2118995.9249999998</v>
      </c>
      <c r="M479" s="6">
        <f>I479-L479</f>
        <v>241012.07500000019</v>
      </c>
      <c r="N479" s="7">
        <f>L479*1.084</f>
        <v>2296991.5827000001</v>
      </c>
    </row>
    <row r="480" spans="1:20" ht="20.100000000000001" customHeight="1">
      <c r="A480" s="1"/>
      <c r="B480" s="16"/>
      <c r="C480" s="69" t="s">
        <v>18</v>
      </c>
      <c r="D480" s="53" t="s">
        <v>19</v>
      </c>
      <c r="E480" s="71">
        <v>1940000</v>
      </c>
      <c r="F480" s="71">
        <v>1460000</v>
      </c>
      <c r="G480" s="71">
        <v>172181.08</v>
      </c>
      <c r="H480" s="71">
        <f t="shared" si="32"/>
        <v>229574.77333333332</v>
      </c>
      <c r="I480" s="109">
        <f>I492+I506</f>
        <v>365000</v>
      </c>
      <c r="J480" s="5"/>
    </row>
    <row r="481" spans="1:18" ht="12" customHeight="1">
      <c r="A481" s="1"/>
      <c r="B481" s="16"/>
      <c r="C481" s="69" t="s">
        <v>20</v>
      </c>
      <c r="D481" s="53" t="s">
        <v>21</v>
      </c>
      <c r="E481" s="71">
        <v>985000</v>
      </c>
      <c r="F481" s="71">
        <v>739000</v>
      </c>
      <c r="G481" s="71">
        <v>7728.88</v>
      </c>
      <c r="H481" s="71">
        <f t="shared" si="32"/>
        <v>10305.173333333334</v>
      </c>
      <c r="I481" s="109">
        <f>I495+I509</f>
        <v>290000</v>
      </c>
      <c r="J481" s="5"/>
    </row>
    <row r="482" spans="1:18" ht="12" customHeight="1">
      <c r="A482" s="1"/>
      <c r="B482" s="16"/>
      <c r="C482" s="69" t="s">
        <v>22</v>
      </c>
      <c r="D482" s="53" t="s">
        <v>108</v>
      </c>
      <c r="E482" s="71">
        <v>40000</v>
      </c>
      <c r="F482" s="71">
        <v>30000</v>
      </c>
      <c r="G482" s="71">
        <v>0</v>
      </c>
      <c r="H482" s="71">
        <f t="shared" si="32"/>
        <v>0</v>
      </c>
      <c r="I482" s="109">
        <f>I496+I510</f>
        <v>12000</v>
      </c>
      <c r="J482" s="5"/>
    </row>
    <row r="483" spans="1:18" ht="12" customHeight="1">
      <c r="A483" s="1"/>
      <c r="B483" s="16"/>
      <c r="C483" s="69" t="s">
        <v>24</v>
      </c>
      <c r="D483" s="53" t="s">
        <v>109</v>
      </c>
      <c r="E483" s="71">
        <v>100000</v>
      </c>
      <c r="F483" s="71">
        <v>75100</v>
      </c>
      <c r="G483" s="71">
        <v>0</v>
      </c>
      <c r="H483" s="71">
        <f t="shared" si="32"/>
        <v>0</v>
      </c>
      <c r="I483" s="109">
        <f>I497+I511</f>
        <v>250000</v>
      </c>
      <c r="J483" s="5"/>
    </row>
    <row r="484" spans="1:18" ht="20.100000000000001" customHeight="1">
      <c r="A484" s="1"/>
      <c r="B484" s="16"/>
      <c r="C484" s="69" t="s">
        <v>26</v>
      </c>
      <c r="D484" s="53" t="s">
        <v>110</v>
      </c>
      <c r="E484" s="71">
        <v>20000</v>
      </c>
      <c r="F484" s="71">
        <v>15200</v>
      </c>
      <c r="G484" s="71">
        <v>8983.3700000000008</v>
      </c>
      <c r="H484" s="71">
        <f t="shared" si="32"/>
        <v>11977.826666666668</v>
      </c>
      <c r="I484" s="109">
        <f>I498+I512</f>
        <v>40000</v>
      </c>
      <c r="J484" s="5"/>
    </row>
    <row r="485" spans="1:18" ht="12" customHeight="1">
      <c r="A485" s="1"/>
      <c r="B485" s="16"/>
      <c r="C485" s="69" t="s">
        <v>28</v>
      </c>
      <c r="D485" s="53" t="s">
        <v>29</v>
      </c>
      <c r="E485" s="71">
        <v>75000</v>
      </c>
      <c r="F485" s="71">
        <v>56250</v>
      </c>
      <c r="G485" s="71">
        <v>56250</v>
      </c>
      <c r="H485" s="71">
        <f t="shared" si="32"/>
        <v>75000</v>
      </c>
      <c r="I485" s="109">
        <f>I499+I513</f>
        <v>110000</v>
      </c>
      <c r="J485" s="5"/>
    </row>
    <row r="486" spans="1:18" ht="12.75" customHeight="1">
      <c r="A486" s="1"/>
      <c r="B486" s="16"/>
      <c r="C486" s="69" t="s">
        <v>32</v>
      </c>
      <c r="D486" s="53" t="s">
        <v>111</v>
      </c>
      <c r="E486" s="71">
        <v>230000</v>
      </c>
      <c r="F486" s="71">
        <v>172700</v>
      </c>
      <c r="G486" s="71">
        <v>0</v>
      </c>
      <c r="H486" s="71">
        <f t="shared" si="32"/>
        <v>0</v>
      </c>
      <c r="I486" s="109">
        <f>I501+I515</f>
        <v>165000</v>
      </c>
      <c r="J486" s="5"/>
    </row>
    <row r="487" spans="1:18" ht="23.25" customHeight="1">
      <c r="A487" s="1"/>
      <c r="B487" s="16"/>
      <c r="C487" s="69" t="s">
        <v>34</v>
      </c>
      <c r="D487" s="53" t="s">
        <v>35</v>
      </c>
      <c r="E487" s="71">
        <v>356000</v>
      </c>
      <c r="F487" s="71">
        <v>259100</v>
      </c>
      <c r="G487" s="71">
        <v>0</v>
      </c>
      <c r="H487" s="71">
        <f t="shared" si="32"/>
        <v>0</v>
      </c>
      <c r="I487" s="109">
        <f>I502+I516</f>
        <v>120000</v>
      </c>
      <c r="J487" s="5"/>
    </row>
    <row r="488" spans="1:18" ht="23.25" customHeight="1">
      <c r="A488" s="1"/>
      <c r="B488" s="16"/>
      <c r="C488" s="69">
        <v>3110</v>
      </c>
      <c r="D488" s="53" t="s">
        <v>38</v>
      </c>
      <c r="E488" s="71"/>
      <c r="F488" s="71"/>
      <c r="G488" s="71"/>
      <c r="H488" s="71"/>
      <c r="I488" s="55">
        <v>100000</v>
      </c>
      <c r="J488" s="5"/>
    </row>
    <row r="489" spans="1:18" ht="27.75" hidden="1" customHeight="1">
      <c r="A489" s="1"/>
      <c r="B489" s="16"/>
      <c r="C489" s="65" t="s">
        <v>140</v>
      </c>
      <c r="D489" s="66" t="s">
        <v>142</v>
      </c>
      <c r="E489" s="71"/>
      <c r="F489" s="71"/>
      <c r="G489" s="71"/>
      <c r="H489" s="83"/>
      <c r="I489" s="68">
        <f>I490+I491+I492+I493+I494+I495+I496+I497+I498+I499+I500+I501+I502</f>
        <v>4554362</v>
      </c>
      <c r="J489" s="5"/>
    </row>
    <row r="490" spans="1:18" ht="12.75" hidden="1" customHeight="1">
      <c r="A490" s="1"/>
      <c r="B490" s="16"/>
      <c r="C490" s="69">
        <v>2111</v>
      </c>
      <c r="D490" s="53" t="s">
        <v>15</v>
      </c>
      <c r="E490" s="71"/>
      <c r="F490" s="71"/>
      <c r="G490" s="71"/>
      <c r="H490" s="83"/>
      <c r="I490" s="55">
        <f>4056300-R490</f>
        <v>3432254</v>
      </c>
      <c r="J490" s="13">
        <f>I490+I504</f>
        <v>10494254</v>
      </c>
      <c r="Q490" s="29">
        <f>I490/13*2</f>
        <v>528039.07692307688</v>
      </c>
      <c r="R490" s="7">
        <v>624046</v>
      </c>
    </row>
    <row r="491" spans="1:18" ht="15" hidden="1" customHeight="1">
      <c r="A491" s="1"/>
      <c r="B491" s="16"/>
      <c r="C491" s="69">
        <v>2120</v>
      </c>
      <c r="D491" s="53" t="s">
        <v>17</v>
      </c>
      <c r="E491" s="71"/>
      <c r="F491" s="71"/>
      <c r="G491" s="71"/>
      <c r="H491" s="83"/>
      <c r="I491" s="55">
        <f>892400-R491</f>
        <v>755108</v>
      </c>
      <c r="J491" s="13">
        <f>I491+I505</f>
        <v>2360008</v>
      </c>
      <c r="Q491" s="29">
        <f>I491/13*2</f>
        <v>116170.46153846153</v>
      </c>
      <c r="R491" s="7">
        <v>137292</v>
      </c>
    </row>
    <row r="492" spans="1:18" ht="15" hidden="1" customHeight="1">
      <c r="A492" s="1"/>
      <c r="B492" s="16"/>
      <c r="C492" s="69" t="s">
        <v>18</v>
      </c>
      <c r="D492" s="53" t="s">
        <v>19</v>
      </c>
      <c r="E492" s="71"/>
      <c r="F492" s="71"/>
      <c r="G492" s="71"/>
      <c r="H492" s="83"/>
      <c r="I492" s="55">
        <v>65000</v>
      </c>
      <c r="J492" s="5"/>
    </row>
    <row r="493" spans="1:18" ht="15" hidden="1" customHeight="1">
      <c r="A493" s="1"/>
      <c r="B493" s="16"/>
      <c r="C493" s="69" t="s">
        <v>104</v>
      </c>
      <c r="D493" s="53" t="s">
        <v>105</v>
      </c>
      <c r="E493" s="71"/>
      <c r="F493" s="71"/>
      <c r="G493" s="71"/>
      <c r="H493" s="83"/>
      <c r="I493" s="55">
        <v>0</v>
      </c>
      <c r="J493" s="5"/>
    </row>
    <row r="494" spans="1:18" ht="12.75" hidden="1" customHeight="1">
      <c r="A494" s="1"/>
      <c r="B494" s="16"/>
      <c r="C494" s="69" t="s">
        <v>106</v>
      </c>
      <c r="D494" s="53" t="s">
        <v>107</v>
      </c>
      <c r="E494" s="71"/>
      <c r="F494" s="71"/>
      <c r="G494" s="71"/>
      <c r="H494" s="83"/>
      <c r="I494" s="55">
        <v>0</v>
      </c>
      <c r="J494" s="5"/>
    </row>
    <row r="495" spans="1:18" ht="12.75" hidden="1" customHeight="1">
      <c r="A495" s="1"/>
      <c r="B495" s="16"/>
      <c r="C495" s="69" t="s">
        <v>20</v>
      </c>
      <c r="D495" s="53" t="s">
        <v>21</v>
      </c>
      <c r="E495" s="71"/>
      <c r="F495" s="71"/>
      <c r="G495" s="71"/>
      <c r="H495" s="83"/>
      <c r="I495" s="55">
        <v>90000</v>
      </c>
      <c r="J495" s="5"/>
    </row>
    <row r="496" spans="1:18" ht="15.75" hidden="1" customHeight="1">
      <c r="A496" s="1"/>
      <c r="B496" s="16"/>
      <c r="C496" s="69" t="s">
        <v>22</v>
      </c>
      <c r="D496" s="53" t="s">
        <v>108</v>
      </c>
      <c r="E496" s="71"/>
      <c r="F496" s="71"/>
      <c r="G496" s="71"/>
      <c r="H496" s="83"/>
      <c r="I496" s="55">
        <v>2000</v>
      </c>
      <c r="J496" s="5"/>
    </row>
    <row r="497" spans="1:28" ht="14.25" hidden="1" customHeight="1">
      <c r="A497" s="1"/>
      <c r="B497" s="16"/>
      <c r="C497" s="69" t="s">
        <v>24</v>
      </c>
      <c r="D497" s="53" t="s">
        <v>109</v>
      </c>
      <c r="E497" s="71"/>
      <c r="F497" s="71"/>
      <c r="G497" s="71"/>
      <c r="H497" s="83"/>
      <c r="I497" s="55">
        <v>0</v>
      </c>
      <c r="J497" s="5"/>
    </row>
    <row r="498" spans="1:28" ht="13.5" hidden="1" customHeight="1">
      <c r="A498" s="1"/>
      <c r="B498" s="16"/>
      <c r="C498" s="69" t="s">
        <v>26</v>
      </c>
      <c r="D498" s="53" t="s">
        <v>110</v>
      </c>
      <c r="E498" s="71"/>
      <c r="F498" s="71"/>
      <c r="G498" s="71"/>
      <c r="H498" s="83"/>
      <c r="I498" s="55">
        <v>10000</v>
      </c>
      <c r="J498" s="5"/>
    </row>
    <row r="499" spans="1:28" ht="12" hidden="1" customHeight="1">
      <c r="A499" s="1"/>
      <c r="B499" s="16"/>
      <c r="C499" s="69" t="s">
        <v>28</v>
      </c>
      <c r="D499" s="53" t="s">
        <v>29</v>
      </c>
      <c r="E499" s="71"/>
      <c r="F499" s="71"/>
      <c r="G499" s="71"/>
      <c r="H499" s="83"/>
      <c r="I499" s="55">
        <v>40000</v>
      </c>
      <c r="J499" s="5"/>
    </row>
    <row r="500" spans="1:28" ht="12" hidden="1" customHeight="1">
      <c r="A500" s="1"/>
      <c r="B500" s="16"/>
      <c r="C500" s="69" t="s">
        <v>30</v>
      </c>
      <c r="D500" s="53" t="s">
        <v>31</v>
      </c>
      <c r="E500" s="71"/>
      <c r="F500" s="71"/>
      <c r="G500" s="71"/>
      <c r="H500" s="83"/>
      <c r="I500" s="55">
        <v>0</v>
      </c>
      <c r="J500" s="5"/>
    </row>
    <row r="501" spans="1:28" ht="15" hidden="1" customHeight="1">
      <c r="A501" s="1"/>
      <c r="B501" s="16"/>
      <c r="C501" s="69" t="s">
        <v>32</v>
      </c>
      <c r="D501" s="53" t="s">
        <v>111</v>
      </c>
      <c r="E501" s="71"/>
      <c r="F501" s="71"/>
      <c r="G501" s="71"/>
      <c r="H501" s="83"/>
      <c r="I501" s="55">
        <v>140000</v>
      </c>
      <c r="J501" s="5"/>
    </row>
    <row r="502" spans="1:28" ht="31.5" hidden="1" customHeight="1">
      <c r="A502" s="1"/>
      <c r="B502" s="16"/>
      <c r="C502" s="69" t="s">
        <v>34</v>
      </c>
      <c r="D502" s="53" t="s">
        <v>35</v>
      </c>
      <c r="E502" s="71"/>
      <c r="F502" s="71"/>
      <c r="G502" s="71"/>
      <c r="H502" s="83"/>
      <c r="I502" s="55">
        <v>20000</v>
      </c>
      <c r="J502" s="5"/>
    </row>
    <row r="503" spans="1:28" ht="21" hidden="1" customHeight="1">
      <c r="A503" s="1"/>
      <c r="B503" s="16"/>
      <c r="C503" s="65" t="s">
        <v>140</v>
      </c>
      <c r="D503" s="66" t="s">
        <v>143</v>
      </c>
      <c r="E503" s="71"/>
      <c r="F503" s="71"/>
      <c r="G503" s="71"/>
      <c r="H503" s="71"/>
      <c r="I503" s="68">
        <f>I504+I505+I506+I507+I508+I509+I510+I511+I512+I513+I514+I515+I516+I517</f>
        <v>9711900</v>
      </c>
      <c r="J503" s="5"/>
    </row>
    <row r="504" spans="1:28" ht="12" hidden="1" customHeight="1">
      <c r="A504" s="1"/>
      <c r="B504" s="16"/>
      <c r="C504" s="69">
        <v>2111</v>
      </c>
      <c r="D504" s="53" t="s">
        <v>15</v>
      </c>
      <c r="E504" s="71"/>
      <c r="F504" s="71"/>
      <c r="G504" s="71"/>
      <c r="H504" s="71"/>
      <c r="I504" s="55">
        <f>8346000-R504</f>
        <v>7062000</v>
      </c>
      <c r="J504" s="5"/>
      <c r="Q504" s="29">
        <f>I504/13*2</f>
        <v>1086461.5384615385</v>
      </c>
      <c r="R504" s="7">
        <v>1284000</v>
      </c>
    </row>
    <row r="505" spans="1:28" ht="12" hidden="1" customHeight="1">
      <c r="A505" s="1"/>
      <c r="B505" s="16"/>
      <c r="C505" s="69">
        <v>2120</v>
      </c>
      <c r="D505" s="53" t="s">
        <v>17</v>
      </c>
      <c r="E505" s="71"/>
      <c r="F505" s="71"/>
      <c r="G505" s="71"/>
      <c r="H505" s="71"/>
      <c r="I505" s="55">
        <f>1896700-R505</f>
        <v>1604900</v>
      </c>
      <c r="J505" s="5"/>
      <c r="Q505" s="29">
        <f>I505/13*2</f>
        <v>246907.69230769231</v>
      </c>
      <c r="R505" s="7">
        <v>291800</v>
      </c>
    </row>
    <row r="506" spans="1:28" ht="12" hidden="1" customHeight="1">
      <c r="A506" s="1"/>
      <c r="B506" s="16"/>
      <c r="C506" s="69" t="s">
        <v>18</v>
      </c>
      <c r="D506" s="53" t="s">
        <v>19</v>
      </c>
      <c r="E506" s="71"/>
      <c r="F506" s="71"/>
      <c r="G506" s="71"/>
      <c r="H506" s="71"/>
      <c r="I506" s="55">
        <v>300000</v>
      </c>
      <c r="J506" s="5"/>
    </row>
    <row r="507" spans="1:28" s="6" customFormat="1" ht="12" hidden="1" customHeight="1">
      <c r="A507" s="1"/>
      <c r="B507" s="16"/>
      <c r="C507" s="69" t="s">
        <v>104</v>
      </c>
      <c r="D507" s="53" t="s">
        <v>105</v>
      </c>
      <c r="E507" s="71"/>
      <c r="F507" s="71"/>
      <c r="G507" s="71"/>
      <c r="H507" s="71"/>
      <c r="I507" s="55">
        <v>0</v>
      </c>
      <c r="J507" s="5"/>
      <c r="N507" s="7"/>
      <c r="O507" s="8"/>
      <c r="P507" s="8"/>
      <c r="Q507" s="8"/>
      <c r="R507" s="7"/>
      <c r="S507"/>
      <c r="T507"/>
      <c r="U507"/>
      <c r="V507"/>
      <c r="W507"/>
      <c r="X507"/>
      <c r="Y507"/>
      <c r="Z507"/>
      <c r="AA507"/>
      <c r="AB507"/>
    </row>
    <row r="508" spans="1:28" s="6" customFormat="1" ht="12" hidden="1" customHeight="1">
      <c r="A508" s="1"/>
      <c r="B508" s="16"/>
      <c r="C508" s="69" t="s">
        <v>106</v>
      </c>
      <c r="D508" s="53" t="s">
        <v>107</v>
      </c>
      <c r="E508" s="71"/>
      <c r="F508" s="71"/>
      <c r="G508" s="71"/>
      <c r="H508" s="71"/>
      <c r="I508" s="55">
        <v>0</v>
      </c>
      <c r="J508" s="5"/>
      <c r="N508" s="7"/>
      <c r="O508" s="8"/>
      <c r="P508" s="8"/>
      <c r="Q508" s="8"/>
      <c r="R508" s="7"/>
      <c r="S508"/>
      <c r="T508"/>
      <c r="U508"/>
      <c r="V508"/>
      <c r="W508"/>
      <c r="X508"/>
      <c r="Y508"/>
      <c r="Z508"/>
      <c r="AA508"/>
      <c r="AB508"/>
    </row>
    <row r="509" spans="1:28" s="6" customFormat="1" ht="12" hidden="1" customHeight="1">
      <c r="A509" s="1"/>
      <c r="B509" s="16"/>
      <c r="C509" s="69" t="s">
        <v>20</v>
      </c>
      <c r="D509" s="53" t="s">
        <v>21</v>
      </c>
      <c r="E509" s="71"/>
      <c r="F509" s="71"/>
      <c r="G509" s="71"/>
      <c r="H509" s="71"/>
      <c r="I509" s="55">
        <v>200000</v>
      </c>
      <c r="J509" s="5"/>
      <c r="N509" s="7"/>
      <c r="O509" s="8"/>
      <c r="P509" s="8"/>
      <c r="Q509" s="8"/>
      <c r="R509" s="7"/>
      <c r="S509"/>
      <c r="T509"/>
      <c r="U509"/>
      <c r="V509"/>
      <c r="W509"/>
      <c r="X509"/>
      <c r="Y509"/>
      <c r="Z509"/>
      <c r="AA509"/>
      <c r="AB509"/>
    </row>
    <row r="510" spans="1:28" s="6" customFormat="1" ht="12" hidden="1" customHeight="1">
      <c r="A510" s="1"/>
      <c r="B510" s="16"/>
      <c r="C510" s="69" t="s">
        <v>22</v>
      </c>
      <c r="D510" s="53" t="s">
        <v>108</v>
      </c>
      <c r="E510" s="71"/>
      <c r="F510" s="71"/>
      <c r="G510" s="71"/>
      <c r="H510" s="71"/>
      <c r="I510" s="55">
        <v>10000</v>
      </c>
      <c r="J510" s="5"/>
      <c r="N510" s="7"/>
      <c r="O510" s="8"/>
      <c r="P510" s="8"/>
      <c r="Q510" s="8"/>
      <c r="R510" s="7"/>
      <c r="S510"/>
      <c r="T510"/>
      <c r="U510"/>
      <c r="V510"/>
      <c r="W510"/>
      <c r="X510"/>
      <c r="Y510"/>
      <c r="Z510"/>
      <c r="AA510"/>
      <c r="AB510"/>
    </row>
    <row r="511" spans="1:28" s="6" customFormat="1" ht="12" hidden="1" customHeight="1">
      <c r="A511" s="1"/>
      <c r="B511" s="16"/>
      <c r="C511" s="69" t="s">
        <v>24</v>
      </c>
      <c r="D511" s="53" t="s">
        <v>109</v>
      </c>
      <c r="E511" s="71"/>
      <c r="F511" s="71"/>
      <c r="G511" s="71"/>
      <c r="H511" s="71"/>
      <c r="I511" s="55">
        <v>250000</v>
      </c>
      <c r="J511" s="5"/>
      <c r="N511" s="7"/>
      <c r="O511" s="8"/>
      <c r="P511" s="8"/>
      <c r="Q511" s="8"/>
      <c r="R511" s="7"/>
      <c r="S511"/>
      <c r="T511"/>
      <c r="U511"/>
      <c r="V511"/>
      <c r="W511"/>
      <c r="X511"/>
      <c r="Y511"/>
      <c r="Z511"/>
      <c r="AA511"/>
      <c r="AB511"/>
    </row>
    <row r="512" spans="1:28" s="6" customFormat="1" ht="12" hidden="1" customHeight="1">
      <c r="A512" s="1"/>
      <c r="B512" s="16"/>
      <c r="C512" s="69" t="s">
        <v>26</v>
      </c>
      <c r="D512" s="53" t="s">
        <v>110</v>
      </c>
      <c r="E512" s="71"/>
      <c r="F512" s="71"/>
      <c r="G512" s="71"/>
      <c r="H512" s="71"/>
      <c r="I512" s="55">
        <v>30000</v>
      </c>
      <c r="J512" s="5"/>
      <c r="N512" s="7"/>
      <c r="O512" s="8"/>
      <c r="P512" s="8"/>
      <c r="Q512" s="8"/>
      <c r="R512" s="7"/>
      <c r="S512"/>
      <c r="T512"/>
      <c r="U512"/>
      <c r="V512"/>
      <c r="W512"/>
      <c r="X512"/>
      <c r="Y512"/>
      <c r="Z512"/>
      <c r="AA512"/>
      <c r="AB512"/>
    </row>
    <row r="513" spans="1:77" s="6" customFormat="1" ht="12" hidden="1" customHeight="1">
      <c r="A513" s="1"/>
      <c r="B513" s="16"/>
      <c r="C513" s="69" t="s">
        <v>28</v>
      </c>
      <c r="D513" s="53" t="s">
        <v>29</v>
      </c>
      <c r="E513" s="71"/>
      <c r="F513" s="71"/>
      <c r="G513" s="71"/>
      <c r="H513" s="71"/>
      <c r="I513" s="55">
        <v>70000</v>
      </c>
      <c r="J513" s="5"/>
      <c r="N513" s="7"/>
      <c r="O513" s="8"/>
      <c r="P513" s="8"/>
      <c r="Q513" s="8"/>
      <c r="R513" s="7"/>
      <c r="S513"/>
      <c r="T513"/>
      <c r="U513"/>
      <c r="V513"/>
      <c r="W513"/>
      <c r="X513"/>
      <c r="Y513"/>
      <c r="Z513"/>
      <c r="AA513"/>
      <c r="AB513"/>
    </row>
    <row r="514" spans="1:77" s="6" customFormat="1" ht="12" hidden="1" customHeight="1">
      <c r="A514" s="1"/>
      <c r="B514" s="16"/>
      <c r="C514" s="69" t="s">
        <v>30</v>
      </c>
      <c r="D514" s="53" t="s">
        <v>31</v>
      </c>
      <c r="E514" s="71"/>
      <c r="F514" s="71"/>
      <c r="G514" s="71"/>
      <c r="H514" s="71"/>
      <c r="I514" s="111">
        <v>0</v>
      </c>
      <c r="J514" s="5"/>
      <c r="N514" s="7"/>
      <c r="O514" s="8"/>
      <c r="P514" s="8"/>
      <c r="Q514" s="8"/>
      <c r="R514" s="7"/>
      <c r="S514"/>
      <c r="T514"/>
      <c r="U514"/>
      <c r="V514"/>
      <c r="W514"/>
      <c r="X514"/>
      <c r="Y514"/>
      <c r="Z514"/>
      <c r="AA514"/>
      <c r="AB514"/>
    </row>
    <row r="515" spans="1:77" s="6" customFormat="1" ht="18" hidden="1" customHeight="1">
      <c r="A515" s="1"/>
      <c r="B515" s="16"/>
      <c r="C515" s="69" t="s">
        <v>32</v>
      </c>
      <c r="D515" s="53" t="s">
        <v>111</v>
      </c>
      <c r="E515" s="71"/>
      <c r="F515" s="71"/>
      <c r="G515" s="71"/>
      <c r="H515" s="71"/>
      <c r="I515" s="55">
        <v>25000</v>
      </c>
      <c r="J515" s="5"/>
      <c r="N515" s="7"/>
      <c r="O515" s="8"/>
      <c r="P515" s="8"/>
      <c r="Q515" s="8"/>
      <c r="R515" s="7"/>
      <c r="S515"/>
      <c r="T515"/>
      <c r="U515"/>
      <c r="V515"/>
      <c r="W515"/>
      <c r="X515"/>
      <c r="Y515"/>
      <c r="Z515"/>
      <c r="AA515"/>
      <c r="AB515"/>
    </row>
    <row r="516" spans="1:77" s="6" customFormat="1" ht="27.75" hidden="1" customHeight="1">
      <c r="A516" s="1"/>
      <c r="B516" s="16"/>
      <c r="C516" s="69" t="s">
        <v>34</v>
      </c>
      <c r="D516" s="53" t="s">
        <v>35</v>
      </c>
      <c r="E516" s="71"/>
      <c r="F516" s="71"/>
      <c r="G516" s="71"/>
      <c r="H516" s="71"/>
      <c r="I516" s="55">
        <v>100000</v>
      </c>
      <c r="J516" s="5"/>
      <c r="N516" s="7"/>
      <c r="O516" s="8"/>
      <c r="P516" s="8"/>
      <c r="Q516" s="8"/>
      <c r="R516" s="7"/>
      <c r="S516"/>
      <c r="T516"/>
      <c r="U516"/>
      <c r="V516"/>
      <c r="W516"/>
      <c r="X516"/>
      <c r="Y516"/>
      <c r="Z516"/>
      <c r="AA516"/>
      <c r="AB516"/>
    </row>
    <row r="517" spans="1:77" s="6" customFormat="1" ht="27.75" hidden="1" customHeight="1">
      <c r="A517" s="1"/>
      <c r="B517" s="16"/>
      <c r="C517" s="69">
        <v>3110</v>
      </c>
      <c r="D517" s="53" t="s">
        <v>38</v>
      </c>
      <c r="E517" s="71"/>
      <c r="F517" s="71"/>
      <c r="G517" s="71"/>
      <c r="H517" s="71"/>
      <c r="I517" s="55">
        <v>60000</v>
      </c>
      <c r="J517" s="5"/>
      <c r="N517" s="7"/>
      <c r="O517" s="8"/>
      <c r="P517" s="8"/>
      <c r="Q517" s="8"/>
      <c r="R517" s="7"/>
      <c r="S517"/>
      <c r="T517"/>
      <c r="U517"/>
      <c r="V517"/>
      <c r="W517"/>
      <c r="X517"/>
      <c r="Y517"/>
      <c r="Z517"/>
      <c r="AA517"/>
      <c r="AB517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32"/>
      <c r="AP517" s="32"/>
      <c r="AQ517" s="32"/>
      <c r="AR517" s="32"/>
      <c r="AS517" s="32"/>
      <c r="AT517" s="32"/>
      <c r="AU517" s="32"/>
      <c r="AV517" s="32"/>
      <c r="AW517" s="32"/>
      <c r="AX517" s="32"/>
      <c r="AY517" s="32"/>
      <c r="AZ517" s="32"/>
      <c r="BA517" s="32"/>
      <c r="BB517" s="32"/>
      <c r="BC517" s="32"/>
      <c r="BD517" s="32"/>
      <c r="BE517" s="32"/>
      <c r="BF517" s="32"/>
      <c r="BG517" s="32"/>
      <c r="BH517" s="32"/>
      <c r="BI517" s="32"/>
      <c r="BJ517" s="32"/>
      <c r="BK517" s="32"/>
      <c r="BL517" s="32"/>
      <c r="BM517" s="32"/>
      <c r="BN517" s="32"/>
      <c r="BO517" s="32"/>
      <c r="BP517" s="32"/>
      <c r="BQ517" s="32"/>
      <c r="BR517" s="32"/>
      <c r="BS517" s="32"/>
      <c r="BT517" s="32"/>
      <c r="BU517" s="32"/>
      <c r="BV517" s="32"/>
      <c r="BW517" s="32"/>
      <c r="BX517" s="32"/>
      <c r="BY517" s="32"/>
    </row>
    <row r="518" spans="1:77" s="6" customFormat="1" ht="24.75" customHeight="1">
      <c r="A518" s="1"/>
      <c r="B518" s="16"/>
      <c r="C518" s="65" t="s">
        <v>144</v>
      </c>
      <c r="D518" s="66" t="s">
        <v>145</v>
      </c>
      <c r="E518" s="67">
        <v>498553</v>
      </c>
      <c r="F518" s="67">
        <v>498553</v>
      </c>
      <c r="G518" s="67">
        <v>13771.27</v>
      </c>
      <c r="H518" s="67">
        <f>(G518/9)*12</f>
        <v>18361.693333333333</v>
      </c>
      <c r="I518" s="68">
        <f>I519+I520+I521+I522</f>
        <v>3164866</v>
      </c>
      <c r="J518" s="5"/>
      <c r="N518" s="7"/>
      <c r="O518" s="8"/>
      <c r="P518" s="8"/>
      <c r="Q518" s="8"/>
      <c r="R518" s="7"/>
      <c r="S518"/>
      <c r="T518"/>
      <c r="U518"/>
      <c r="V518"/>
      <c r="W518"/>
      <c r="X518"/>
      <c r="Y518"/>
      <c r="Z518"/>
      <c r="AA518"/>
      <c r="AB518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  <c r="BO518" s="33"/>
      <c r="BP518" s="33"/>
      <c r="BQ518" s="33"/>
      <c r="BR518" s="33"/>
      <c r="BS518" s="33"/>
      <c r="BT518" s="33"/>
      <c r="BU518" s="33"/>
      <c r="BV518" s="33"/>
      <c r="BW518" s="33"/>
      <c r="BX518" s="33"/>
      <c r="BY518" s="33"/>
    </row>
    <row r="519" spans="1:77" s="6" customFormat="1" ht="12" customHeight="1">
      <c r="A519" s="1"/>
      <c r="B519" s="16"/>
      <c r="C519" s="69" t="s">
        <v>14</v>
      </c>
      <c r="D519" s="53" t="s">
        <v>15</v>
      </c>
      <c r="E519" s="71">
        <v>326683</v>
      </c>
      <c r="F519" s="71">
        <v>326683</v>
      </c>
      <c r="G519" s="71">
        <v>11287.93</v>
      </c>
      <c r="H519" s="71">
        <f>(G519/9)*12</f>
        <v>15050.573333333334</v>
      </c>
      <c r="I519" s="55">
        <v>2430216</v>
      </c>
      <c r="J519" s="5"/>
      <c r="N519" s="7"/>
      <c r="O519" s="8"/>
      <c r="P519" s="8"/>
      <c r="Q519" s="8"/>
      <c r="R519" s="7"/>
      <c r="S519"/>
      <c r="T519"/>
      <c r="U519"/>
      <c r="V519"/>
      <c r="W519"/>
      <c r="X519"/>
      <c r="Y519"/>
      <c r="Z519"/>
      <c r="AA519"/>
      <c r="AB519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  <c r="BO519" s="33"/>
      <c r="BP519" s="33"/>
      <c r="BQ519" s="33"/>
      <c r="BR519" s="33"/>
      <c r="BS519" s="33"/>
      <c r="BT519" s="33"/>
      <c r="BU519" s="33"/>
      <c r="BV519" s="33"/>
      <c r="BW519" s="33"/>
      <c r="BX519" s="33"/>
      <c r="BY519" s="33"/>
    </row>
    <row r="520" spans="1:77" s="6" customFormat="1" ht="12" customHeight="1">
      <c r="A520" s="1"/>
      <c r="B520" s="16"/>
      <c r="C520" s="69" t="s">
        <v>16</v>
      </c>
      <c r="D520" s="53" t="s">
        <v>17</v>
      </c>
      <c r="E520" s="71">
        <v>71870</v>
      </c>
      <c r="F520" s="71">
        <v>71870</v>
      </c>
      <c r="G520" s="71">
        <v>2483.34</v>
      </c>
      <c r="H520" s="71">
        <f>(G520/9)*12</f>
        <v>3311.12</v>
      </c>
      <c r="I520" s="55">
        <v>534650</v>
      </c>
      <c r="J520" s="5"/>
      <c r="N520" s="7"/>
      <c r="O520" s="8"/>
      <c r="P520" s="8"/>
      <c r="Q520" s="8"/>
      <c r="R520" s="7"/>
      <c r="S520"/>
      <c r="T520"/>
      <c r="U520"/>
      <c r="V520"/>
      <c r="W520"/>
      <c r="X520"/>
      <c r="Y520"/>
      <c r="Z520"/>
      <c r="AA520"/>
      <c r="AB520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  <c r="BO520" s="33"/>
      <c r="BP520" s="33"/>
      <c r="BQ520" s="33"/>
      <c r="BR520" s="33"/>
      <c r="BS520" s="33"/>
      <c r="BT520" s="33"/>
      <c r="BU520" s="33"/>
      <c r="BV520" s="33"/>
      <c r="BW520" s="33"/>
      <c r="BX520" s="33"/>
      <c r="BY520" s="33"/>
    </row>
    <row r="521" spans="1:77" s="6" customFormat="1" ht="12" customHeight="1">
      <c r="A521" s="1"/>
      <c r="B521" s="16"/>
      <c r="C521" s="69" t="s">
        <v>18</v>
      </c>
      <c r="D521" s="53" t="s">
        <v>19</v>
      </c>
      <c r="E521" s="71">
        <v>50000</v>
      </c>
      <c r="F521" s="71">
        <v>50000</v>
      </c>
      <c r="G521" s="71">
        <v>0</v>
      </c>
      <c r="H521" s="71">
        <f>(G521/9)*12</f>
        <v>0</v>
      </c>
      <c r="I521" s="55">
        <v>100000</v>
      </c>
      <c r="J521" s="5"/>
      <c r="N521" s="7"/>
      <c r="O521" s="8"/>
      <c r="P521" s="8"/>
      <c r="Q521" s="8"/>
      <c r="R521" s="7"/>
      <c r="S521"/>
      <c r="T521"/>
      <c r="U521"/>
      <c r="V521"/>
      <c r="W521"/>
      <c r="X521"/>
      <c r="Y521"/>
      <c r="Z521"/>
      <c r="AA521"/>
      <c r="AB521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  <c r="BO521" s="33"/>
      <c r="BP521" s="33"/>
      <c r="BQ521" s="33"/>
      <c r="BR521" s="33"/>
      <c r="BS521" s="33"/>
      <c r="BT521" s="33"/>
      <c r="BU521" s="33"/>
      <c r="BV521" s="33"/>
      <c r="BW521" s="33"/>
      <c r="BX521" s="33"/>
      <c r="BY521" s="33"/>
    </row>
    <row r="522" spans="1:77" s="6" customFormat="1" ht="12" customHeight="1">
      <c r="A522" s="1"/>
      <c r="B522" s="16"/>
      <c r="C522" s="69" t="s">
        <v>20</v>
      </c>
      <c r="D522" s="53" t="s">
        <v>21</v>
      </c>
      <c r="E522" s="71">
        <v>50000</v>
      </c>
      <c r="F522" s="71">
        <v>50000</v>
      </c>
      <c r="G522" s="71">
        <v>0</v>
      </c>
      <c r="H522" s="71">
        <f>(G522/9)*12</f>
        <v>0</v>
      </c>
      <c r="I522" s="55">
        <v>100000</v>
      </c>
      <c r="J522" s="5"/>
      <c r="N522" s="7"/>
      <c r="O522" s="8"/>
      <c r="P522" s="8"/>
      <c r="Q522" s="8"/>
      <c r="R522" s="7"/>
      <c r="S522"/>
      <c r="T522"/>
      <c r="U522"/>
      <c r="V522"/>
      <c r="W522"/>
      <c r="X522"/>
      <c r="Y522"/>
      <c r="Z522"/>
      <c r="AA522"/>
      <c r="AB522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  <c r="BO522" s="33"/>
      <c r="BP522" s="33"/>
      <c r="BQ522" s="33"/>
      <c r="BR522" s="33"/>
      <c r="BS522" s="33"/>
      <c r="BT522" s="33"/>
      <c r="BU522" s="33"/>
      <c r="BV522" s="33"/>
      <c r="BW522" s="33"/>
      <c r="BX522" s="33"/>
      <c r="BY522" s="33"/>
    </row>
    <row r="523" spans="1:77" ht="20.100000000000001" customHeight="1">
      <c r="A523" s="1"/>
      <c r="B523" s="16"/>
      <c r="C523" s="65" t="s">
        <v>146</v>
      </c>
      <c r="D523" s="66" t="s">
        <v>147</v>
      </c>
      <c r="E523" s="67">
        <v>9001647</v>
      </c>
      <c r="F523" s="67">
        <v>5591570</v>
      </c>
      <c r="G523" s="67">
        <v>3325501.1700000004</v>
      </c>
      <c r="H523" s="67">
        <f t="shared" ref="H523:H629" si="33">(G523/9)*12</f>
        <v>4434001.5600000005</v>
      </c>
      <c r="I523" s="68">
        <f>I524+I536+I532+I534+I545+I547+I552+I554+I556+I558+I550</f>
        <v>15738165</v>
      </c>
      <c r="J523" s="5"/>
    </row>
    <row r="524" spans="1:77" ht="17.25" customHeight="1">
      <c r="A524" s="1"/>
      <c r="B524" s="16"/>
      <c r="C524" s="65" t="s">
        <v>148</v>
      </c>
      <c r="D524" s="66" t="s">
        <v>13</v>
      </c>
      <c r="E524" s="67">
        <v>2191164</v>
      </c>
      <c r="F524" s="67">
        <v>1714164</v>
      </c>
      <c r="G524" s="67">
        <v>1219377.07</v>
      </c>
      <c r="H524" s="67">
        <f t="shared" si="33"/>
        <v>1625836.0933333333</v>
      </c>
      <c r="I524" s="68">
        <f>I525+I526+I527+I528+I529+I530+I531</f>
        <v>3048384</v>
      </c>
      <c r="J524" s="5"/>
    </row>
    <row r="525" spans="1:77" ht="12" customHeight="1">
      <c r="A525" s="1"/>
      <c r="B525" s="16"/>
      <c r="C525" s="69" t="s">
        <v>14</v>
      </c>
      <c r="D525" s="53" t="s">
        <v>15</v>
      </c>
      <c r="E525" s="71">
        <v>1653823</v>
      </c>
      <c r="F525" s="71">
        <v>1263823</v>
      </c>
      <c r="G525" s="71">
        <v>970978.03</v>
      </c>
      <c r="H525" s="71">
        <f t="shared" si="33"/>
        <v>1294637.3733333333</v>
      </c>
      <c r="I525" s="55">
        <v>2374904</v>
      </c>
      <c r="J525" s="5">
        <f>E525/12</f>
        <v>137818.58333333334</v>
      </c>
      <c r="K525" s="6">
        <f>J525*1.031</f>
        <v>142090.95941666668</v>
      </c>
      <c r="L525" s="6">
        <f>(J525*9)+(K525*3)</f>
        <v>1666640.1282500001</v>
      </c>
      <c r="M525" s="6">
        <f>I525-L525</f>
        <v>708263.87174999993</v>
      </c>
      <c r="N525" s="7">
        <f>L525*1.084</f>
        <v>1806637.8990230002</v>
      </c>
      <c r="S525" s="10"/>
      <c r="T525" s="10"/>
      <c r="U525" s="10"/>
    </row>
    <row r="526" spans="1:77" ht="12" customHeight="1">
      <c r="A526" s="1"/>
      <c r="B526" s="16"/>
      <c r="C526" s="69" t="s">
        <v>16</v>
      </c>
      <c r="D526" s="53" t="s">
        <v>17</v>
      </c>
      <c r="E526" s="71">
        <v>367841</v>
      </c>
      <c r="F526" s="71">
        <v>280841</v>
      </c>
      <c r="G526" s="71">
        <v>213615.42</v>
      </c>
      <c r="H526" s="71">
        <f t="shared" si="33"/>
        <v>284820.56000000006</v>
      </c>
      <c r="I526" s="55">
        <v>522480</v>
      </c>
      <c r="J526" s="5">
        <f>E526/12</f>
        <v>30653.416666666668</v>
      </c>
      <c r="K526" s="6">
        <f>J526*1.031</f>
        <v>31603.672583333333</v>
      </c>
      <c r="L526" s="6">
        <f>(J526*9)+(K526*3)</f>
        <v>370691.76775</v>
      </c>
      <c r="M526" s="6">
        <f>I526-L526</f>
        <v>151788.23225</v>
      </c>
      <c r="N526" s="7">
        <f>L526*1.084</f>
        <v>401829.87624100002</v>
      </c>
      <c r="S526" s="10"/>
      <c r="T526" s="10"/>
      <c r="U526" s="10"/>
    </row>
    <row r="527" spans="1:77" ht="12" customHeight="1">
      <c r="A527" s="1"/>
      <c r="B527" s="16"/>
      <c r="C527" s="69" t="s">
        <v>18</v>
      </c>
      <c r="D527" s="53" t="s">
        <v>19</v>
      </c>
      <c r="E527" s="71">
        <v>119500</v>
      </c>
      <c r="F527" s="71">
        <v>119500</v>
      </c>
      <c r="G527" s="71">
        <v>26443.62</v>
      </c>
      <c r="H527" s="71">
        <f t="shared" si="33"/>
        <v>35258.159999999996</v>
      </c>
      <c r="I527" s="55">
        <v>80000</v>
      </c>
      <c r="J527" s="5"/>
      <c r="S527" s="10"/>
      <c r="T527" s="10"/>
      <c r="U527" s="10"/>
    </row>
    <row r="528" spans="1:77" ht="12" customHeight="1">
      <c r="A528" s="1"/>
      <c r="B528" s="16"/>
      <c r="C528" s="69" t="s">
        <v>20</v>
      </c>
      <c r="D528" s="53" t="s">
        <v>21</v>
      </c>
      <c r="E528" s="71">
        <v>50000</v>
      </c>
      <c r="F528" s="71">
        <v>50000</v>
      </c>
      <c r="G528" s="71">
        <v>8340</v>
      </c>
      <c r="H528" s="71">
        <f t="shared" si="33"/>
        <v>11120</v>
      </c>
      <c r="I528" s="55">
        <v>50000</v>
      </c>
      <c r="J528" s="5"/>
      <c r="S528" s="10"/>
      <c r="T528" s="10"/>
      <c r="U528" s="10"/>
    </row>
    <row r="529" spans="1:21" ht="12" customHeight="1">
      <c r="A529" s="1"/>
      <c r="B529" s="16"/>
      <c r="C529" s="69">
        <v>2250</v>
      </c>
      <c r="D529" s="112" t="s">
        <v>108</v>
      </c>
      <c r="E529" s="71"/>
      <c r="F529" s="71"/>
      <c r="G529" s="71"/>
      <c r="H529" s="71"/>
      <c r="I529" s="55">
        <v>6000</v>
      </c>
      <c r="J529" s="33"/>
      <c r="K529" s="33"/>
      <c r="L529" s="33"/>
      <c r="S529" s="10"/>
      <c r="T529" s="10"/>
      <c r="U529" s="10"/>
    </row>
    <row r="530" spans="1:21" ht="18" customHeight="1">
      <c r="A530" s="1"/>
      <c r="B530" s="16"/>
      <c r="C530" s="69">
        <v>2282</v>
      </c>
      <c r="D530" s="113" t="s">
        <v>35</v>
      </c>
      <c r="E530" s="114"/>
      <c r="F530" s="114"/>
      <c r="G530" s="114"/>
      <c r="H530" s="114"/>
      <c r="I530" s="55">
        <v>12000</v>
      </c>
      <c r="J530" s="11"/>
      <c r="K530" s="12"/>
      <c r="L530" s="12"/>
      <c r="S530" s="10"/>
      <c r="T530" s="10"/>
      <c r="U530" s="10"/>
    </row>
    <row r="531" spans="1:21" ht="12" customHeight="1">
      <c r="A531" s="1"/>
      <c r="B531" s="16"/>
      <c r="C531" s="69">
        <v>2800</v>
      </c>
      <c r="D531" s="113" t="s">
        <v>37</v>
      </c>
      <c r="E531" s="113"/>
      <c r="F531" s="113"/>
      <c r="G531" s="113"/>
      <c r="H531" s="113"/>
      <c r="I531" s="55">
        <v>3000</v>
      </c>
      <c r="J531" s="11"/>
      <c r="K531" s="12"/>
      <c r="L531" s="12"/>
      <c r="S531" s="10"/>
      <c r="T531" s="10"/>
      <c r="U531" s="10"/>
    </row>
    <row r="532" spans="1:21" ht="21" customHeight="1">
      <c r="A532" s="1"/>
      <c r="B532" s="16"/>
      <c r="C532" s="65">
        <v>813032</v>
      </c>
      <c r="D532" s="115" t="s">
        <v>149</v>
      </c>
      <c r="E532" s="71"/>
      <c r="F532" s="71"/>
      <c r="G532" s="71"/>
      <c r="H532" s="71"/>
      <c r="I532" s="68">
        <f>I533</f>
        <v>15000</v>
      </c>
      <c r="J532" s="5"/>
    </row>
    <row r="533" spans="1:21" ht="12" customHeight="1">
      <c r="A533" s="1"/>
      <c r="B533" s="16"/>
      <c r="C533" s="69">
        <v>2730</v>
      </c>
      <c r="D533" s="53" t="s">
        <v>150</v>
      </c>
      <c r="E533" s="71"/>
      <c r="F533" s="71"/>
      <c r="G533" s="71"/>
      <c r="H533" s="71"/>
      <c r="I533" s="55">
        <v>15000</v>
      </c>
      <c r="J533" s="5"/>
    </row>
    <row r="534" spans="1:21" ht="18" customHeight="1">
      <c r="A534" s="1"/>
      <c r="B534" s="16"/>
      <c r="C534" s="65">
        <v>813035</v>
      </c>
      <c r="D534" s="115" t="s">
        <v>151</v>
      </c>
      <c r="E534" s="71"/>
      <c r="F534" s="71"/>
      <c r="G534" s="71"/>
      <c r="H534" s="71"/>
      <c r="I534" s="68">
        <f>I535</f>
        <v>2000000</v>
      </c>
      <c r="J534" s="5"/>
    </row>
    <row r="535" spans="1:21" ht="22.5" customHeight="1">
      <c r="A535" s="1"/>
      <c r="B535" s="16"/>
      <c r="C535" s="69">
        <v>2610</v>
      </c>
      <c r="D535" s="53" t="s">
        <v>60</v>
      </c>
      <c r="E535" s="71"/>
      <c r="F535" s="71"/>
      <c r="G535" s="71"/>
      <c r="H535" s="71"/>
      <c r="I535" s="55">
        <v>2000000</v>
      </c>
      <c r="J535" s="5"/>
    </row>
    <row r="536" spans="1:21" ht="21.75" customHeight="1">
      <c r="A536" s="1"/>
      <c r="B536" s="16"/>
      <c r="C536" s="65" t="s">
        <v>152</v>
      </c>
      <c r="D536" s="66" t="s">
        <v>153</v>
      </c>
      <c r="E536" s="67">
        <v>3099677</v>
      </c>
      <c r="F536" s="67">
        <v>2764577</v>
      </c>
      <c r="G536" s="67">
        <v>1877933.9200000002</v>
      </c>
      <c r="H536" s="67">
        <f t="shared" si="33"/>
        <v>2503911.8933333335</v>
      </c>
      <c r="I536" s="68">
        <f>I537+I538+I539+I540+I542+I541+I543+I544</f>
        <v>6575981</v>
      </c>
      <c r="J536" s="5"/>
    </row>
    <row r="537" spans="1:21" ht="12" customHeight="1">
      <c r="A537" s="1"/>
      <c r="B537" s="16"/>
      <c r="C537" s="69" t="s">
        <v>14</v>
      </c>
      <c r="D537" s="53" t="s">
        <v>15</v>
      </c>
      <c r="E537" s="71">
        <v>2450555</v>
      </c>
      <c r="F537" s="71">
        <v>2175355</v>
      </c>
      <c r="G537" s="71">
        <v>1495973.34</v>
      </c>
      <c r="H537" s="71">
        <f t="shared" si="33"/>
        <v>1994631.12</v>
      </c>
      <c r="I537" s="55">
        <v>4961131</v>
      </c>
      <c r="J537" s="5">
        <f>I537/12</f>
        <v>413427.58333333331</v>
      </c>
      <c r="K537" s="6">
        <f>J537*1.031</f>
        <v>426243.83841666661</v>
      </c>
      <c r="L537" s="6">
        <f>(J537*9)+(K537*3)</f>
        <v>4999579.7652499992</v>
      </c>
      <c r="M537" s="6">
        <f>I537-L537</f>
        <v>-38448.76524999924</v>
      </c>
      <c r="N537" s="7">
        <f>L537*1.084</f>
        <v>5419544.4655309999</v>
      </c>
      <c r="S537" s="10"/>
      <c r="T537" s="10"/>
      <c r="U537" s="10"/>
    </row>
    <row r="538" spans="1:21" ht="12" customHeight="1">
      <c r="A538" s="1"/>
      <c r="B538" s="16"/>
      <c r="C538" s="69" t="s">
        <v>16</v>
      </c>
      <c r="D538" s="53" t="s">
        <v>17</v>
      </c>
      <c r="E538" s="71">
        <v>539122</v>
      </c>
      <c r="F538" s="71">
        <v>479222</v>
      </c>
      <c r="G538" s="71">
        <v>328991.88</v>
      </c>
      <c r="H538" s="71">
        <f t="shared" si="33"/>
        <v>438655.84</v>
      </c>
      <c r="I538" s="55">
        <v>1091450</v>
      </c>
      <c r="J538" s="5">
        <f>I538/12</f>
        <v>90954.166666666672</v>
      </c>
      <c r="K538" s="6">
        <f>J538*1.031</f>
        <v>93773.745833333334</v>
      </c>
      <c r="L538" s="6">
        <f>(J538*9)+(K538*3)</f>
        <v>1099908.7375</v>
      </c>
      <c r="M538" s="6">
        <f>I538-L538</f>
        <v>-8458.7375000000466</v>
      </c>
      <c r="N538" s="7">
        <f>L538*1.084</f>
        <v>1192301.0714500002</v>
      </c>
      <c r="S538" s="10"/>
      <c r="T538" s="10"/>
      <c r="U538" s="10"/>
    </row>
    <row r="539" spans="1:21" ht="12.75" customHeight="1">
      <c r="A539" s="1"/>
      <c r="B539" s="16"/>
      <c r="C539" s="69" t="s">
        <v>18</v>
      </c>
      <c r="D539" s="70" t="s">
        <v>154</v>
      </c>
      <c r="E539" s="71">
        <v>50000</v>
      </c>
      <c r="F539" s="71">
        <v>50000</v>
      </c>
      <c r="G539" s="71">
        <v>28598.7</v>
      </c>
      <c r="H539" s="71">
        <f t="shared" si="33"/>
        <v>38131.599999999999</v>
      </c>
      <c r="I539" s="55">
        <v>200000</v>
      </c>
      <c r="J539" s="5"/>
      <c r="S539" s="10"/>
      <c r="T539" s="10"/>
      <c r="U539" s="10"/>
    </row>
    <row r="540" spans="1:21" ht="13.5" customHeight="1">
      <c r="A540" s="1"/>
      <c r="B540" s="16"/>
      <c r="C540" s="69" t="s">
        <v>20</v>
      </c>
      <c r="D540" s="53" t="s">
        <v>21</v>
      </c>
      <c r="E540" s="71">
        <v>48000</v>
      </c>
      <c r="F540" s="71">
        <v>48000</v>
      </c>
      <c r="G540" s="71">
        <v>24370</v>
      </c>
      <c r="H540" s="71">
        <f t="shared" si="33"/>
        <v>32493.333333333336</v>
      </c>
      <c r="I540" s="55">
        <v>65000</v>
      </c>
      <c r="J540" s="5"/>
      <c r="S540" s="10"/>
      <c r="T540" s="10"/>
      <c r="U540" s="10"/>
    </row>
    <row r="541" spans="1:21" ht="12" customHeight="1">
      <c r="A541" s="1"/>
      <c r="B541" s="16"/>
      <c r="C541" s="69">
        <v>2272</v>
      </c>
      <c r="D541" s="53" t="s">
        <v>155</v>
      </c>
      <c r="E541" s="71"/>
      <c r="F541" s="71"/>
      <c r="G541" s="71"/>
      <c r="H541" s="71"/>
      <c r="I541" s="55">
        <v>16000</v>
      </c>
      <c r="J541" s="5"/>
      <c r="S541" s="10"/>
      <c r="T541" s="10"/>
      <c r="U541" s="10"/>
    </row>
    <row r="542" spans="1:21" ht="12" customHeight="1">
      <c r="A542" s="1"/>
      <c r="B542" s="16"/>
      <c r="C542" s="69" t="s">
        <v>28</v>
      </c>
      <c r="D542" s="53" t="s">
        <v>29</v>
      </c>
      <c r="E542" s="71">
        <v>8000</v>
      </c>
      <c r="F542" s="71">
        <v>8000</v>
      </c>
      <c r="G542" s="71">
        <v>0</v>
      </c>
      <c r="H542" s="71">
        <f t="shared" si="33"/>
        <v>0</v>
      </c>
      <c r="I542" s="55">
        <v>150000</v>
      </c>
      <c r="J542" s="5"/>
    </row>
    <row r="543" spans="1:21" ht="15.75" customHeight="1">
      <c r="A543" s="1"/>
      <c r="B543" s="16"/>
      <c r="C543" s="69" t="s">
        <v>32</v>
      </c>
      <c r="D543" s="53" t="s">
        <v>156</v>
      </c>
      <c r="E543" s="71">
        <v>4000</v>
      </c>
      <c r="F543" s="71">
        <v>4000</v>
      </c>
      <c r="G543" s="71">
        <v>0</v>
      </c>
      <c r="H543" s="71">
        <f t="shared" si="33"/>
        <v>0</v>
      </c>
      <c r="I543" s="55">
        <v>2400</v>
      </c>
      <c r="J543" s="5"/>
    </row>
    <row r="544" spans="1:21" ht="15" customHeight="1">
      <c r="A544" s="1"/>
      <c r="B544" s="16"/>
      <c r="C544" s="69">
        <v>3110</v>
      </c>
      <c r="D544" s="53" t="s">
        <v>157</v>
      </c>
      <c r="E544" s="113"/>
      <c r="F544" s="113"/>
      <c r="G544" s="113"/>
      <c r="H544" s="113"/>
      <c r="I544" s="55">
        <v>90000</v>
      </c>
      <c r="J544" s="11"/>
      <c r="K544" s="12"/>
      <c r="L544" s="12"/>
    </row>
    <row r="545" spans="1:10" ht="26.25" customHeight="1">
      <c r="A545" s="1"/>
      <c r="B545" s="16"/>
      <c r="C545" s="65">
        <v>813122</v>
      </c>
      <c r="D545" s="66" t="s">
        <v>158</v>
      </c>
      <c r="E545" s="71"/>
      <c r="F545" s="71"/>
      <c r="G545" s="71"/>
      <c r="H545" s="71"/>
      <c r="I545" s="68">
        <f>I546</f>
        <v>57000</v>
      </c>
      <c r="J545" s="5"/>
    </row>
    <row r="546" spans="1:10" ht="27" customHeight="1">
      <c r="A546" s="1"/>
      <c r="B546" s="16"/>
      <c r="C546" s="69">
        <v>2282</v>
      </c>
      <c r="D546" s="53" t="s">
        <v>35</v>
      </c>
      <c r="E546" s="71"/>
      <c r="F546" s="71"/>
      <c r="G546" s="71"/>
      <c r="H546" s="71"/>
      <c r="I546" s="55">
        <v>57000</v>
      </c>
      <c r="J546" s="5"/>
    </row>
    <row r="547" spans="1:10" ht="16.5" hidden="1" customHeight="1">
      <c r="A547" s="1"/>
      <c r="B547" s="16"/>
      <c r="C547" s="116">
        <v>813123</v>
      </c>
      <c r="D547" s="117" t="s">
        <v>159</v>
      </c>
      <c r="E547" s="71"/>
      <c r="F547" s="71"/>
      <c r="G547" s="71"/>
      <c r="H547" s="71"/>
      <c r="I547" s="68">
        <f>I549+I548</f>
        <v>0</v>
      </c>
      <c r="J547" s="5"/>
    </row>
    <row r="548" spans="1:10" ht="12" hidden="1" customHeight="1">
      <c r="A548" s="1"/>
      <c r="B548" s="16"/>
      <c r="C548" s="69">
        <v>2210</v>
      </c>
      <c r="D548" s="118" t="s">
        <v>19</v>
      </c>
      <c r="E548" s="71"/>
      <c r="F548" s="71"/>
      <c r="G548" s="71"/>
      <c r="H548" s="71"/>
      <c r="I548" s="55">
        <v>0</v>
      </c>
      <c r="J548" s="5"/>
    </row>
    <row r="549" spans="1:10" ht="11.25" hidden="1" customHeight="1">
      <c r="A549" s="1"/>
      <c r="B549" s="16"/>
      <c r="C549" s="69">
        <v>2240</v>
      </c>
      <c r="D549" s="53" t="s">
        <v>21</v>
      </c>
      <c r="E549" s="71"/>
      <c r="F549" s="71"/>
      <c r="G549" s="71"/>
      <c r="H549" s="71"/>
      <c r="I549" s="55">
        <v>0</v>
      </c>
      <c r="J549" s="5"/>
    </row>
    <row r="550" spans="1:10" ht="13.5" hidden="1" customHeight="1">
      <c r="A550" s="1"/>
      <c r="B550" s="16"/>
      <c r="C550" s="119">
        <v>813221</v>
      </c>
      <c r="D550" s="88" t="s">
        <v>160</v>
      </c>
      <c r="E550" s="120"/>
      <c r="F550" s="120"/>
      <c r="G550" s="120"/>
      <c r="H550" s="120"/>
      <c r="I550" s="121">
        <f>I551</f>
        <v>0</v>
      </c>
      <c r="J550" s="5"/>
    </row>
    <row r="551" spans="1:10" ht="12" hidden="1" customHeight="1">
      <c r="A551" s="1"/>
      <c r="B551" s="16"/>
      <c r="C551" s="87">
        <v>3240</v>
      </c>
      <c r="D551" s="88" t="s">
        <v>161</v>
      </c>
      <c r="E551" s="90"/>
      <c r="F551" s="90"/>
      <c r="G551" s="90"/>
      <c r="H551" s="90"/>
      <c r="I551" s="91">
        <v>0</v>
      </c>
      <c r="J551" s="5"/>
    </row>
    <row r="552" spans="1:10" ht="12.75" hidden="1" customHeight="1">
      <c r="A552" s="1"/>
      <c r="B552" s="16"/>
      <c r="C552" s="119">
        <v>813222</v>
      </c>
      <c r="D552" s="88" t="s">
        <v>162</v>
      </c>
      <c r="E552" s="120"/>
      <c r="F552" s="120"/>
      <c r="G552" s="120"/>
      <c r="H552" s="120"/>
      <c r="I552" s="121">
        <f>I553</f>
        <v>0</v>
      </c>
      <c r="J552" s="5"/>
    </row>
    <row r="553" spans="1:10" ht="13.5" hidden="1" customHeight="1">
      <c r="A553" s="1"/>
      <c r="B553" s="16"/>
      <c r="C553" s="87">
        <v>3240</v>
      </c>
      <c r="D553" s="88" t="s">
        <v>161</v>
      </c>
      <c r="E553" s="90"/>
      <c r="F553" s="90"/>
      <c r="G553" s="90"/>
      <c r="H553" s="90"/>
      <c r="I553" s="91">
        <v>0</v>
      </c>
      <c r="J553" s="5"/>
    </row>
    <row r="554" spans="1:10" ht="18.75" customHeight="1">
      <c r="A554" s="1"/>
      <c r="B554" s="16"/>
      <c r="C554" s="65" t="s">
        <v>163</v>
      </c>
      <c r="D554" s="66" t="s">
        <v>164</v>
      </c>
      <c r="E554" s="67">
        <v>200000</v>
      </c>
      <c r="F554" s="67">
        <v>200000</v>
      </c>
      <c r="G554" s="67">
        <v>128190.18</v>
      </c>
      <c r="H554" s="67">
        <f t="shared" si="33"/>
        <v>170920.24</v>
      </c>
      <c r="I554" s="68">
        <f>I555</f>
        <v>350000</v>
      </c>
      <c r="J554" s="5"/>
    </row>
    <row r="555" spans="1:10" ht="15" customHeight="1">
      <c r="A555" s="1"/>
      <c r="B555" s="16"/>
      <c r="C555" s="69" t="s">
        <v>165</v>
      </c>
      <c r="D555" s="53" t="s">
        <v>150</v>
      </c>
      <c r="E555" s="71">
        <v>200000</v>
      </c>
      <c r="F555" s="71">
        <v>200000</v>
      </c>
      <c r="G555" s="71">
        <v>128190.18</v>
      </c>
      <c r="H555" s="71">
        <f t="shared" si="33"/>
        <v>170920.24</v>
      </c>
      <c r="I555" s="55">
        <v>350000</v>
      </c>
      <c r="J555" s="5"/>
    </row>
    <row r="556" spans="1:10" ht="16.5" customHeight="1">
      <c r="A556" s="1"/>
      <c r="B556" s="16"/>
      <c r="C556" s="122" t="s">
        <v>166</v>
      </c>
      <c r="D556" s="66" t="s">
        <v>167</v>
      </c>
      <c r="E556" s="71"/>
      <c r="F556" s="71"/>
      <c r="G556" s="71"/>
      <c r="H556" s="71"/>
      <c r="I556" s="68">
        <f>I557</f>
        <v>120000</v>
      </c>
      <c r="J556" s="5"/>
    </row>
    <row r="557" spans="1:10" ht="21" customHeight="1">
      <c r="A557" s="1"/>
      <c r="B557" s="16"/>
      <c r="C557" s="69">
        <v>2282</v>
      </c>
      <c r="D557" s="53" t="s">
        <v>35</v>
      </c>
      <c r="E557" s="71"/>
      <c r="F557" s="71"/>
      <c r="G557" s="71"/>
      <c r="H557" s="71"/>
      <c r="I557" s="55">
        <v>120000</v>
      </c>
      <c r="J557" s="5"/>
    </row>
    <row r="558" spans="1:10" ht="20.100000000000001" customHeight="1">
      <c r="A558" s="1"/>
      <c r="B558" s="16"/>
      <c r="C558" s="65" t="s">
        <v>168</v>
      </c>
      <c r="D558" s="66" t="s">
        <v>169</v>
      </c>
      <c r="E558" s="67">
        <v>100000</v>
      </c>
      <c r="F558" s="67">
        <v>100000</v>
      </c>
      <c r="G558" s="67">
        <v>100000</v>
      </c>
      <c r="H558" s="67">
        <f t="shared" si="33"/>
        <v>133333.33333333334</v>
      </c>
      <c r="I558" s="68">
        <f>I559</f>
        <v>3571800</v>
      </c>
      <c r="J558" s="5"/>
    </row>
    <row r="559" spans="1:10" ht="12" customHeight="1">
      <c r="A559" s="1"/>
      <c r="B559" s="16"/>
      <c r="C559" s="69" t="s">
        <v>165</v>
      </c>
      <c r="D559" s="53" t="s">
        <v>150</v>
      </c>
      <c r="E559" s="71">
        <v>100000</v>
      </c>
      <c r="F559" s="71">
        <v>100000</v>
      </c>
      <c r="G559" s="71">
        <v>100000</v>
      </c>
      <c r="H559" s="71">
        <f t="shared" si="33"/>
        <v>133333.33333333334</v>
      </c>
      <c r="I559" s="55">
        <v>3571800</v>
      </c>
      <c r="J559" s="5"/>
    </row>
    <row r="560" spans="1:10" ht="14.25" customHeight="1">
      <c r="A560" s="1"/>
      <c r="B560" s="16"/>
      <c r="C560" s="65" t="s">
        <v>170</v>
      </c>
      <c r="D560" s="66" t="s">
        <v>171</v>
      </c>
      <c r="E560" s="67">
        <v>1103900</v>
      </c>
      <c r="F560" s="67">
        <v>763000</v>
      </c>
      <c r="G560" s="67">
        <v>495436.72</v>
      </c>
      <c r="H560" s="67">
        <f t="shared" si="33"/>
        <v>660582.29333333322</v>
      </c>
      <c r="I560" s="68">
        <f>I561+I569+I567</f>
        <v>3756679</v>
      </c>
      <c r="J560" s="5"/>
    </row>
    <row r="561" spans="1:19" ht="23.25" customHeight="1">
      <c r="A561" s="1"/>
      <c r="B561" s="16"/>
      <c r="C561" s="65" t="s">
        <v>172</v>
      </c>
      <c r="D561" s="66" t="s">
        <v>13</v>
      </c>
      <c r="E561" s="67">
        <v>1103900</v>
      </c>
      <c r="F561" s="67">
        <v>763000</v>
      </c>
      <c r="G561" s="67">
        <v>495436.72</v>
      </c>
      <c r="H561" s="67">
        <f t="shared" si="33"/>
        <v>660582.29333333322</v>
      </c>
      <c r="I561" s="68">
        <f>I562+I563+I564+I565+I566</f>
        <v>2632979</v>
      </c>
      <c r="J561" s="5"/>
    </row>
    <row r="562" spans="1:19" ht="12" customHeight="1">
      <c r="A562" s="1"/>
      <c r="B562" s="16"/>
      <c r="C562" s="69" t="s">
        <v>14</v>
      </c>
      <c r="D562" s="53" t="s">
        <v>15</v>
      </c>
      <c r="E562" s="71">
        <v>872300</v>
      </c>
      <c r="F562" s="71">
        <v>588000</v>
      </c>
      <c r="G562" s="71">
        <v>391283.84</v>
      </c>
      <c r="H562" s="71">
        <f t="shared" si="33"/>
        <v>521711.78666666674</v>
      </c>
      <c r="I562" s="55">
        <v>1843310</v>
      </c>
      <c r="J562" s="5"/>
      <c r="S562" s="34"/>
    </row>
    <row r="563" spans="1:19" ht="12" customHeight="1">
      <c r="A563" s="1"/>
      <c r="B563" s="16"/>
      <c r="C563" s="69" t="s">
        <v>16</v>
      </c>
      <c r="D563" s="53" t="s">
        <v>17</v>
      </c>
      <c r="E563" s="71">
        <v>191600</v>
      </c>
      <c r="F563" s="71">
        <v>135000</v>
      </c>
      <c r="G563" s="71">
        <v>86670.9</v>
      </c>
      <c r="H563" s="71">
        <f t="shared" si="33"/>
        <v>115561.19999999998</v>
      </c>
      <c r="I563" s="55">
        <v>405529</v>
      </c>
      <c r="J563" s="5"/>
      <c r="S563" s="34"/>
    </row>
    <row r="564" spans="1:19" ht="14.25" customHeight="1">
      <c r="A564" s="1"/>
      <c r="B564" s="16"/>
      <c r="C564" s="69" t="s">
        <v>18</v>
      </c>
      <c r="D564" s="53" t="s">
        <v>19</v>
      </c>
      <c r="E564" s="71">
        <v>10000</v>
      </c>
      <c r="F564" s="71">
        <v>10000</v>
      </c>
      <c r="G564" s="71">
        <v>9999.98</v>
      </c>
      <c r="H564" s="71">
        <f t="shared" si="33"/>
        <v>13333.306666666667</v>
      </c>
      <c r="I564" s="55">
        <v>100000</v>
      </c>
      <c r="J564" s="5"/>
      <c r="S564" s="34"/>
    </row>
    <row r="565" spans="1:19" ht="12" customHeight="1">
      <c r="A565" s="1"/>
      <c r="B565" s="16"/>
      <c r="C565" s="69" t="s">
        <v>20</v>
      </c>
      <c r="D565" s="53" t="s">
        <v>21</v>
      </c>
      <c r="E565" s="71">
        <v>30000</v>
      </c>
      <c r="F565" s="71">
        <v>30000</v>
      </c>
      <c r="G565" s="71">
        <v>7482</v>
      </c>
      <c r="H565" s="71">
        <f t="shared" si="33"/>
        <v>9976</v>
      </c>
      <c r="I565" s="55">
        <v>50000</v>
      </c>
      <c r="J565" s="5"/>
      <c r="S565" s="34"/>
    </row>
    <row r="566" spans="1:19" ht="15" customHeight="1">
      <c r="A566" s="1"/>
      <c r="B566" s="16"/>
      <c r="C566" s="80">
        <v>3110</v>
      </c>
      <c r="D566" s="123" t="s">
        <v>38</v>
      </c>
      <c r="E566" s="83"/>
      <c r="F566" s="83"/>
      <c r="G566" s="83"/>
      <c r="H566" s="83"/>
      <c r="I566" s="55">
        <v>234140</v>
      </c>
      <c r="J566" s="5"/>
      <c r="S566" s="34"/>
    </row>
    <row r="567" spans="1:19" ht="14.25" customHeight="1">
      <c r="A567" s="1"/>
      <c r="B567" s="16"/>
      <c r="C567" s="65">
        <v>913112</v>
      </c>
      <c r="D567" s="115" t="s">
        <v>173</v>
      </c>
      <c r="E567" s="71"/>
      <c r="F567" s="71"/>
      <c r="G567" s="71"/>
      <c r="H567" s="71"/>
      <c r="I567" s="68">
        <f>I568</f>
        <v>183700</v>
      </c>
      <c r="J567" s="5"/>
      <c r="S567" s="34"/>
    </row>
    <row r="568" spans="1:19" ht="21.75" customHeight="1">
      <c r="A568" s="1"/>
      <c r="B568" s="16"/>
      <c r="C568" s="69">
        <v>2282</v>
      </c>
      <c r="D568" s="53" t="s">
        <v>35</v>
      </c>
      <c r="E568" s="71"/>
      <c r="F568" s="71"/>
      <c r="G568" s="71"/>
      <c r="H568" s="71"/>
      <c r="I568" s="55">
        <v>183700</v>
      </c>
      <c r="J568" s="5"/>
      <c r="S568" s="34"/>
    </row>
    <row r="569" spans="1:19" ht="21.75" customHeight="1">
      <c r="A569" s="1"/>
      <c r="B569" s="16"/>
      <c r="C569" s="65">
        <v>913140</v>
      </c>
      <c r="D569" s="66" t="s">
        <v>174</v>
      </c>
      <c r="E569" s="67">
        <v>940000</v>
      </c>
      <c r="F569" s="67">
        <v>940000</v>
      </c>
      <c r="G569" s="67">
        <v>399744</v>
      </c>
      <c r="H569" s="67">
        <v>532992</v>
      </c>
      <c r="I569" s="68">
        <f>I570</f>
        <v>940000</v>
      </c>
      <c r="J569" s="5"/>
      <c r="S569" s="34"/>
    </row>
    <row r="570" spans="1:19" ht="21.75" customHeight="1">
      <c r="A570" s="1"/>
      <c r="B570" s="16"/>
      <c r="C570" s="69" t="s">
        <v>34</v>
      </c>
      <c r="D570" s="53" t="s">
        <v>35</v>
      </c>
      <c r="E570" s="71">
        <v>940000</v>
      </c>
      <c r="F570" s="71">
        <v>940000</v>
      </c>
      <c r="G570" s="71">
        <v>399744</v>
      </c>
      <c r="H570" s="71">
        <v>532992</v>
      </c>
      <c r="I570" s="55">
        <v>940000</v>
      </c>
      <c r="J570" s="5"/>
      <c r="S570" s="34"/>
    </row>
    <row r="571" spans="1:19" ht="20.100000000000001" customHeight="1">
      <c r="A571" s="1"/>
      <c r="B571" s="16"/>
      <c r="C571" s="65" t="s">
        <v>175</v>
      </c>
      <c r="D571" s="66" t="s">
        <v>176</v>
      </c>
      <c r="E571" s="67">
        <v>49355066</v>
      </c>
      <c r="F571" s="67">
        <v>42149150</v>
      </c>
      <c r="G571" s="67">
        <v>31758776.649999999</v>
      </c>
      <c r="H571" s="67">
        <f t="shared" si="33"/>
        <v>42345035.533333331</v>
      </c>
      <c r="I571" s="68">
        <f>I572+I579+I591+I597+I611+I624+I636+I640+I642+I649+I652+I595+I609</f>
        <v>43651646.615384616</v>
      </c>
      <c r="J571" s="5"/>
    </row>
    <row r="572" spans="1:19" ht="29.25" customHeight="1">
      <c r="A572" s="1"/>
      <c r="B572" s="16"/>
      <c r="C572" s="65" t="s">
        <v>177</v>
      </c>
      <c r="D572" s="66" t="s">
        <v>13</v>
      </c>
      <c r="E572" s="67">
        <v>1577906</v>
      </c>
      <c r="F572" s="67">
        <v>1500695</v>
      </c>
      <c r="G572" s="67">
        <v>985793.72</v>
      </c>
      <c r="H572" s="67">
        <f t="shared" si="33"/>
        <v>1314391.6266666665</v>
      </c>
      <c r="I572" s="68">
        <f>I573+I574+I575+I576+I577+I578</f>
        <v>1562000</v>
      </c>
      <c r="J572" s="5"/>
    </row>
    <row r="573" spans="1:19" ht="12" customHeight="1">
      <c r="A573" s="1"/>
      <c r="B573" s="16"/>
      <c r="C573" s="69" t="s">
        <v>14</v>
      </c>
      <c r="D573" s="53" t="s">
        <v>15</v>
      </c>
      <c r="E573" s="71">
        <v>963976</v>
      </c>
      <c r="F573" s="71">
        <v>900760</v>
      </c>
      <c r="G573" s="71">
        <v>652029.69999999995</v>
      </c>
      <c r="H573" s="71">
        <f t="shared" si="33"/>
        <v>869372.93333333335</v>
      </c>
      <c r="I573" s="55">
        <v>1042000</v>
      </c>
      <c r="J573" s="5"/>
    </row>
    <row r="574" spans="1:19" ht="12" customHeight="1">
      <c r="A574" s="1"/>
      <c r="B574" s="16"/>
      <c r="C574" s="69" t="s">
        <v>16</v>
      </c>
      <c r="D574" s="53" t="s">
        <v>17</v>
      </c>
      <c r="E574" s="71">
        <v>212155</v>
      </c>
      <c r="F574" s="71">
        <v>198160</v>
      </c>
      <c r="G574" s="71">
        <v>143446.54</v>
      </c>
      <c r="H574" s="71">
        <f t="shared" si="33"/>
        <v>191262.05333333334</v>
      </c>
      <c r="I574" s="55">
        <v>230000</v>
      </c>
      <c r="J574" s="5"/>
    </row>
    <row r="575" spans="1:19" ht="20.100000000000001" customHeight="1">
      <c r="A575" s="1"/>
      <c r="B575" s="16"/>
      <c r="C575" s="69" t="s">
        <v>18</v>
      </c>
      <c r="D575" s="53" t="s">
        <v>19</v>
      </c>
      <c r="E575" s="71">
        <v>258275</v>
      </c>
      <c r="F575" s="71">
        <v>258275</v>
      </c>
      <c r="G575" s="71">
        <v>139916.48000000001</v>
      </c>
      <c r="H575" s="71">
        <f t="shared" si="33"/>
        <v>186555.30666666667</v>
      </c>
      <c r="I575" s="55">
        <v>150000</v>
      </c>
      <c r="J575" s="5"/>
    </row>
    <row r="576" spans="1:19" ht="12" customHeight="1">
      <c r="A576" s="1"/>
      <c r="B576" s="16"/>
      <c r="C576" s="69" t="s">
        <v>20</v>
      </c>
      <c r="D576" s="53" t="s">
        <v>21</v>
      </c>
      <c r="E576" s="71">
        <v>122000</v>
      </c>
      <c r="F576" s="71">
        <v>122000</v>
      </c>
      <c r="G576" s="71">
        <v>46901</v>
      </c>
      <c r="H576" s="71">
        <f t="shared" si="33"/>
        <v>62534.666666666672</v>
      </c>
      <c r="I576" s="55">
        <v>100000</v>
      </c>
      <c r="J576" s="5"/>
    </row>
    <row r="577" spans="1:28" ht="20.25" customHeight="1">
      <c r="A577" s="1"/>
      <c r="B577" s="16"/>
      <c r="C577" s="69" t="s">
        <v>34</v>
      </c>
      <c r="D577" s="53" t="s">
        <v>35</v>
      </c>
      <c r="E577" s="71">
        <v>20000</v>
      </c>
      <c r="F577" s="71">
        <v>20000</v>
      </c>
      <c r="G577" s="71">
        <v>3500</v>
      </c>
      <c r="H577" s="71">
        <f t="shared" si="33"/>
        <v>4666.666666666667</v>
      </c>
      <c r="I577" s="55">
        <v>30000</v>
      </c>
      <c r="J577" s="5"/>
    </row>
    <row r="578" spans="1:28" ht="12" customHeight="1">
      <c r="A578" s="1"/>
      <c r="B578" s="16"/>
      <c r="C578" s="69" t="s">
        <v>36</v>
      </c>
      <c r="D578" s="53" t="s">
        <v>37</v>
      </c>
      <c r="E578" s="71">
        <v>1500</v>
      </c>
      <c r="F578" s="71">
        <v>1500</v>
      </c>
      <c r="G578" s="71">
        <v>0</v>
      </c>
      <c r="H578" s="71">
        <f t="shared" si="33"/>
        <v>0</v>
      </c>
      <c r="I578" s="55">
        <v>10000</v>
      </c>
      <c r="J578" s="5"/>
    </row>
    <row r="579" spans="1:28" s="19" customFormat="1" ht="19.5" customHeight="1">
      <c r="A579" s="1"/>
      <c r="B579" s="16"/>
      <c r="C579" s="65" t="s">
        <v>178</v>
      </c>
      <c r="D579" s="66" t="s">
        <v>179</v>
      </c>
      <c r="E579" s="67">
        <v>17836301</v>
      </c>
      <c r="F579" s="67">
        <v>15258585</v>
      </c>
      <c r="G579" s="67">
        <v>13140615.99</v>
      </c>
      <c r="H579" s="67">
        <f t="shared" si="33"/>
        <v>17520821.32</v>
      </c>
      <c r="I579" s="68">
        <f>I580+I581+I582+I583+I584+I585+I586+I587+I588+I589+I590</f>
        <v>15015180.615384616</v>
      </c>
      <c r="J579" s="5"/>
      <c r="K579" s="6"/>
      <c r="L579" s="6"/>
      <c r="M579" s="6"/>
      <c r="N579" s="7"/>
      <c r="O579" s="8"/>
      <c r="P579" s="8"/>
      <c r="Q579" s="8"/>
      <c r="R579" s="7"/>
      <c r="S579"/>
      <c r="T579"/>
      <c r="U579"/>
      <c r="V579"/>
      <c r="W579"/>
      <c r="X579"/>
      <c r="Y579"/>
      <c r="Z579"/>
      <c r="AA579"/>
      <c r="AB579"/>
    </row>
    <row r="580" spans="1:28" s="19" customFormat="1" ht="12" customHeight="1">
      <c r="A580" s="1"/>
      <c r="B580" s="16"/>
      <c r="C580" s="69" t="s">
        <v>14</v>
      </c>
      <c r="D580" s="53" t="s">
        <v>15</v>
      </c>
      <c r="E580" s="71">
        <v>14010370</v>
      </c>
      <c r="F580" s="71">
        <v>11816215</v>
      </c>
      <c r="G580" s="71">
        <v>10536449.619999999</v>
      </c>
      <c r="H580" s="71">
        <f t="shared" si="33"/>
        <v>14048599.493333332</v>
      </c>
      <c r="I580" s="55">
        <f>14715500-R580</f>
        <v>11886496</v>
      </c>
      <c r="J580" s="5">
        <f>E580/12</f>
        <v>1167530.8333333333</v>
      </c>
      <c r="K580" s="6">
        <f>J580*1.031</f>
        <v>1203724.2891666666</v>
      </c>
      <c r="L580" s="6">
        <f>(J580*9)+(K580*3)</f>
        <v>14118950.3675</v>
      </c>
      <c r="M580" s="6">
        <f>I580-L580</f>
        <v>-2232454.3674999997</v>
      </c>
      <c r="N580" s="7">
        <f>L580*1.084</f>
        <v>15304942.19837</v>
      </c>
      <c r="O580" s="8"/>
      <c r="P580" s="8"/>
      <c r="Q580" s="8">
        <f>I580/13*2.5</f>
        <v>2285864.6153846155</v>
      </c>
      <c r="R580" s="7">
        <v>2829004</v>
      </c>
      <c r="S580"/>
      <c r="T580"/>
      <c r="U580"/>
      <c r="V580"/>
      <c r="W580"/>
      <c r="X580"/>
      <c r="Y580"/>
      <c r="Z580"/>
      <c r="AA580"/>
      <c r="AB580"/>
    </row>
    <row r="581" spans="1:28" s="19" customFormat="1" ht="12" customHeight="1">
      <c r="A581" s="1"/>
      <c r="B581" s="16"/>
      <c r="C581" s="69" t="s">
        <v>16</v>
      </c>
      <c r="D581" s="53" t="s">
        <v>17</v>
      </c>
      <c r="E581" s="71">
        <v>3030035</v>
      </c>
      <c r="F581" s="71">
        <v>2787965</v>
      </c>
      <c r="G581" s="71">
        <v>2283305.33</v>
      </c>
      <c r="H581" s="71">
        <f t="shared" si="33"/>
        <v>3044407.1066666669</v>
      </c>
      <c r="I581" s="55">
        <f>3237600-R581</f>
        <v>2614984.6153846155</v>
      </c>
      <c r="J581" s="5">
        <f>E581/12</f>
        <v>252502.91666666666</v>
      </c>
      <c r="K581" s="6">
        <f>J581*1.031</f>
        <v>260330.5070833333</v>
      </c>
      <c r="L581" s="6">
        <f>(J581*9)+(K581*3)</f>
        <v>3053517.7712499998</v>
      </c>
      <c r="M581" s="6">
        <f>I581-L581</f>
        <v>-438533.15586538427</v>
      </c>
      <c r="N581" s="7">
        <f>L581*1.084</f>
        <v>3310013.264035</v>
      </c>
      <c r="O581" s="8"/>
      <c r="P581" s="8"/>
      <c r="Q581" s="8">
        <f>I581/13*2.5</f>
        <v>502881.65680473374</v>
      </c>
      <c r="R581" s="7">
        <v>622615.38461538462</v>
      </c>
      <c r="S581"/>
      <c r="T581"/>
      <c r="U581"/>
      <c r="V581"/>
      <c r="W581"/>
      <c r="X581"/>
      <c r="Y581"/>
      <c r="Z581"/>
      <c r="AA581"/>
      <c r="AB581"/>
    </row>
    <row r="582" spans="1:28" s="19" customFormat="1" ht="20.100000000000001" customHeight="1">
      <c r="A582" s="1"/>
      <c r="B582" s="16"/>
      <c r="C582" s="69" t="s">
        <v>18</v>
      </c>
      <c r="D582" s="53" t="s">
        <v>19</v>
      </c>
      <c r="E582" s="71">
        <v>256590</v>
      </c>
      <c r="F582" s="71">
        <v>229190</v>
      </c>
      <c r="G582" s="71">
        <v>81235.240000000005</v>
      </c>
      <c r="H582" s="71">
        <f t="shared" si="33"/>
        <v>108313.65333333334</v>
      </c>
      <c r="I582" s="55">
        <v>100000</v>
      </c>
      <c r="J582" s="5"/>
      <c r="K582" s="6"/>
      <c r="L582" s="6"/>
      <c r="M582" s="6"/>
      <c r="N582" s="7"/>
      <c r="O582" s="8"/>
      <c r="P582" s="8"/>
      <c r="Q582" s="8"/>
      <c r="R582" s="7"/>
      <c r="S582"/>
      <c r="T582"/>
      <c r="U582"/>
      <c r="V582"/>
      <c r="W582"/>
      <c r="X582"/>
      <c r="Y582"/>
      <c r="Z582"/>
      <c r="AA582"/>
      <c r="AB582"/>
    </row>
    <row r="583" spans="1:28" s="19" customFormat="1" ht="12" customHeight="1">
      <c r="A583" s="1"/>
      <c r="B583" s="16"/>
      <c r="C583" s="69" t="s">
        <v>20</v>
      </c>
      <c r="D583" s="53" t="s">
        <v>21</v>
      </c>
      <c r="E583" s="71">
        <v>433020</v>
      </c>
      <c r="F583" s="71">
        <v>329730</v>
      </c>
      <c r="G583" s="71">
        <v>207450.8</v>
      </c>
      <c r="H583" s="71">
        <f t="shared" si="33"/>
        <v>276601.06666666665</v>
      </c>
      <c r="I583" s="55">
        <v>200000</v>
      </c>
      <c r="J583" s="5"/>
      <c r="K583" s="6"/>
      <c r="L583" s="6"/>
      <c r="M583" s="6"/>
      <c r="N583" s="7"/>
      <c r="O583" s="8"/>
      <c r="P583" s="8"/>
      <c r="Q583" s="8"/>
      <c r="R583" s="7"/>
      <c r="S583"/>
      <c r="T583"/>
      <c r="U583"/>
      <c r="V583"/>
      <c r="W583"/>
      <c r="X583"/>
      <c r="Y583"/>
      <c r="Z583"/>
      <c r="AA583"/>
      <c r="AB583"/>
    </row>
    <row r="584" spans="1:28" s="19" customFormat="1" ht="12" customHeight="1">
      <c r="A584" s="1"/>
      <c r="B584" s="16"/>
      <c r="C584" s="69" t="s">
        <v>22</v>
      </c>
      <c r="D584" s="53" t="s">
        <v>108</v>
      </c>
      <c r="E584" s="71">
        <v>16400</v>
      </c>
      <c r="F584" s="71">
        <v>16400</v>
      </c>
      <c r="G584" s="71">
        <v>0</v>
      </c>
      <c r="H584" s="71">
        <f t="shared" si="33"/>
        <v>0</v>
      </c>
      <c r="I584" s="55">
        <v>16400</v>
      </c>
      <c r="J584" s="5"/>
      <c r="K584" s="6"/>
      <c r="L584" s="6"/>
      <c r="M584" s="6"/>
      <c r="N584" s="7"/>
      <c r="O584" s="8"/>
      <c r="P584" s="8"/>
      <c r="Q584" s="8"/>
      <c r="R584" s="7"/>
      <c r="S584"/>
      <c r="T584"/>
      <c r="U584"/>
      <c r="V584"/>
      <c r="W584"/>
      <c r="X584"/>
      <c r="Y584"/>
      <c r="Z584"/>
      <c r="AA584"/>
      <c r="AB584"/>
    </row>
    <row r="585" spans="1:28" s="19" customFormat="1" ht="12.75" customHeight="1">
      <c r="A585" s="1"/>
      <c r="B585" s="16"/>
      <c r="C585" s="69" t="s">
        <v>26</v>
      </c>
      <c r="D585" s="53" t="s">
        <v>110</v>
      </c>
      <c r="E585" s="71">
        <v>3000</v>
      </c>
      <c r="F585" s="71">
        <v>2475</v>
      </c>
      <c r="G585" s="71">
        <v>1979.97</v>
      </c>
      <c r="H585" s="71">
        <f t="shared" si="33"/>
        <v>2639.96</v>
      </c>
      <c r="I585" s="55">
        <v>5300</v>
      </c>
      <c r="J585" s="5"/>
      <c r="K585" s="6"/>
      <c r="L585" s="6"/>
      <c r="M585" s="6"/>
      <c r="N585" s="7"/>
      <c r="O585" s="8"/>
      <c r="P585" s="8"/>
      <c r="Q585" s="8"/>
      <c r="R585" s="7"/>
      <c r="S585"/>
      <c r="T585"/>
      <c r="U585"/>
      <c r="V585"/>
      <c r="W585"/>
      <c r="X585"/>
      <c r="Y585"/>
      <c r="Z585"/>
      <c r="AA585"/>
      <c r="AB585"/>
    </row>
    <row r="586" spans="1:28" s="19" customFormat="1" ht="12" customHeight="1">
      <c r="A586" s="1"/>
      <c r="B586" s="16"/>
      <c r="C586" s="69" t="s">
        <v>28</v>
      </c>
      <c r="D586" s="53" t="s">
        <v>29</v>
      </c>
      <c r="E586" s="71">
        <v>38700</v>
      </c>
      <c r="F586" s="71">
        <v>33300</v>
      </c>
      <c r="G586" s="71">
        <v>14372.75</v>
      </c>
      <c r="H586" s="71">
        <f t="shared" si="33"/>
        <v>19163.666666666664</v>
      </c>
      <c r="I586" s="55">
        <v>55800</v>
      </c>
      <c r="J586" s="5"/>
      <c r="K586" s="6"/>
      <c r="L586" s="6"/>
      <c r="M586" s="6"/>
      <c r="N586" s="7"/>
      <c r="O586" s="8"/>
      <c r="P586" s="8"/>
      <c r="Q586" s="8"/>
      <c r="R586" s="7"/>
      <c r="S586"/>
      <c r="T586"/>
      <c r="U586"/>
      <c r="V586"/>
      <c r="W586"/>
      <c r="X586"/>
      <c r="Y586"/>
      <c r="Z586"/>
      <c r="AA586"/>
      <c r="AB586"/>
    </row>
    <row r="587" spans="1:28" s="19" customFormat="1" ht="12" customHeight="1">
      <c r="A587" s="1"/>
      <c r="B587" s="16"/>
      <c r="C587" s="69" t="s">
        <v>30</v>
      </c>
      <c r="D587" s="53" t="s">
        <v>31</v>
      </c>
      <c r="E587" s="71">
        <v>35676</v>
      </c>
      <c r="F587" s="71">
        <v>30800</v>
      </c>
      <c r="G587" s="71">
        <v>9302.2800000000007</v>
      </c>
      <c r="H587" s="71">
        <f t="shared" si="33"/>
        <v>12403.04</v>
      </c>
      <c r="I587" s="55">
        <v>44000</v>
      </c>
      <c r="J587" s="5"/>
      <c r="K587" s="6"/>
      <c r="L587" s="6"/>
      <c r="M587" s="6"/>
      <c r="N587" s="7"/>
      <c r="O587" s="8"/>
      <c r="P587" s="8"/>
      <c r="Q587" s="8"/>
      <c r="R587" s="7"/>
      <c r="S587"/>
      <c r="T587"/>
      <c r="U587"/>
      <c r="V587"/>
      <c r="W587"/>
      <c r="X587"/>
      <c r="Y587"/>
      <c r="Z587"/>
      <c r="AA587"/>
      <c r="AB587"/>
    </row>
    <row r="588" spans="1:28" s="19" customFormat="1" ht="20.100000000000001" customHeight="1">
      <c r="A588" s="1"/>
      <c r="B588" s="16"/>
      <c r="C588" s="69" t="s">
        <v>32</v>
      </c>
      <c r="D588" s="53" t="s">
        <v>111</v>
      </c>
      <c r="E588" s="71">
        <v>6600</v>
      </c>
      <c r="F588" s="71">
        <v>6600</v>
      </c>
      <c r="G588" s="71">
        <v>1210</v>
      </c>
      <c r="H588" s="71">
        <f t="shared" si="33"/>
        <v>1613.3333333333335</v>
      </c>
      <c r="I588" s="55">
        <v>7200</v>
      </c>
      <c r="J588" s="5"/>
      <c r="K588" s="6"/>
      <c r="L588" s="6"/>
      <c r="M588" s="6"/>
      <c r="N588" s="7"/>
      <c r="O588" s="8"/>
      <c r="P588" s="8"/>
      <c r="Q588" s="8"/>
      <c r="R588" s="7"/>
      <c r="S588"/>
      <c r="T588"/>
      <c r="U588"/>
      <c r="V588"/>
      <c r="W588"/>
      <c r="X588"/>
      <c r="Y588"/>
      <c r="Z588"/>
      <c r="AA588"/>
      <c r="AB588"/>
    </row>
    <row r="589" spans="1:28" s="19" customFormat="1" ht="20.25" customHeight="1">
      <c r="A589" s="1"/>
      <c r="B589" s="16"/>
      <c r="C589" s="69" t="s">
        <v>34</v>
      </c>
      <c r="D589" s="53" t="s">
        <v>35</v>
      </c>
      <c r="E589" s="71">
        <v>5910</v>
      </c>
      <c r="F589" s="71">
        <v>5910</v>
      </c>
      <c r="G589" s="71">
        <v>5310</v>
      </c>
      <c r="H589" s="71">
        <f t="shared" si="33"/>
        <v>7080</v>
      </c>
      <c r="I589" s="55">
        <v>60000</v>
      </c>
      <c r="J589" s="5"/>
      <c r="K589" s="6"/>
      <c r="L589" s="6"/>
      <c r="M589" s="6"/>
      <c r="N589" s="7"/>
      <c r="O589" s="8"/>
      <c r="P589" s="8"/>
      <c r="Q589" s="8"/>
      <c r="R589" s="7"/>
      <c r="S589"/>
      <c r="T589"/>
      <c r="U589"/>
      <c r="V589"/>
      <c r="W589"/>
      <c r="X589"/>
      <c r="Y589"/>
      <c r="Z589"/>
      <c r="AA589"/>
      <c r="AB589"/>
    </row>
    <row r="590" spans="1:28" s="19" customFormat="1" ht="20.25" customHeight="1">
      <c r="A590" s="1"/>
      <c r="B590" s="16"/>
      <c r="C590" s="80">
        <v>3110</v>
      </c>
      <c r="D590" s="123" t="s">
        <v>180</v>
      </c>
      <c r="E590" s="83"/>
      <c r="F590" s="83"/>
      <c r="G590" s="83"/>
      <c r="H590" s="83"/>
      <c r="I590" s="55">
        <v>25000</v>
      </c>
      <c r="J590" s="5"/>
      <c r="K590" s="6"/>
      <c r="L590" s="6"/>
      <c r="M590" s="6"/>
      <c r="N590" s="7"/>
      <c r="O590" s="8" t="s">
        <v>181</v>
      </c>
      <c r="P590" s="8"/>
      <c r="Q590" s="8"/>
      <c r="R590" s="7"/>
      <c r="S590"/>
      <c r="T590"/>
      <c r="U590"/>
      <c r="V590"/>
      <c r="W590"/>
      <c r="X590"/>
      <c r="Y590"/>
      <c r="Z590"/>
      <c r="AA590"/>
      <c r="AB590"/>
    </row>
    <row r="591" spans="1:28" s="19" customFormat="1" ht="25.5" customHeight="1">
      <c r="A591" s="1"/>
      <c r="B591" s="16"/>
      <c r="C591" s="65" t="s">
        <v>182</v>
      </c>
      <c r="D591" s="72" t="s">
        <v>183</v>
      </c>
      <c r="E591" s="67">
        <v>180000</v>
      </c>
      <c r="F591" s="67">
        <v>180000</v>
      </c>
      <c r="G591" s="67">
        <v>49540</v>
      </c>
      <c r="H591" s="67">
        <f t="shared" si="33"/>
        <v>66053.333333333328</v>
      </c>
      <c r="I591" s="68">
        <f>I592+I593+I594</f>
        <v>300000</v>
      </c>
      <c r="J591" s="5"/>
      <c r="K591" s="6"/>
      <c r="L591" s="6"/>
      <c r="M591" s="6"/>
      <c r="N591" s="7"/>
      <c r="O591" s="8"/>
      <c r="P591" s="8"/>
      <c r="Q591" s="8"/>
      <c r="R591" s="7"/>
      <c r="S591"/>
      <c r="T591"/>
      <c r="U591"/>
      <c r="V591"/>
      <c r="W591"/>
      <c r="X591"/>
      <c r="Y591"/>
      <c r="Z591"/>
      <c r="AA591"/>
      <c r="AB591"/>
    </row>
    <row r="592" spans="1:28" s="19" customFormat="1" ht="14.25" customHeight="1">
      <c r="A592" s="1"/>
      <c r="B592" s="16"/>
      <c r="C592" s="69" t="s">
        <v>18</v>
      </c>
      <c r="D592" s="53" t="s">
        <v>19</v>
      </c>
      <c r="E592" s="71">
        <v>50000</v>
      </c>
      <c r="F592" s="71">
        <v>50000</v>
      </c>
      <c r="G592" s="71">
        <v>49540</v>
      </c>
      <c r="H592" s="71">
        <f t="shared" si="33"/>
        <v>66053.333333333328</v>
      </c>
      <c r="I592" s="55">
        <v>50000</v>
      </c>
      <c r="J592" s="5"/>
      <c r="K592" s="6"/>
      <c r="L592" s="6"/>
      <c r="M592" s="6"/>
      <c r="N592" s="7"/>
      <c r="O592" s="8"/>
      <c r="P592" s="8"/>
      <c r="Q592" s="8"/>
      <c r="R592" s="7"/>
      <c r="S592"/>
      <c r="T592"/>
      <c r="U592"/>
      <c r="V592"/>
      <c r="W592"/>
      <c r="X592"/>
      <c r="Y592"/>
      <c r="Z592"/>
      <c r="AA592"/>
      <c r="AB592"/>
    </row>
    <row r="593" spans="1:28" s="19" customFormat="1" ht="12" customHeight="1">
      <c r="A593" s="1"/>
      <c r="B593" s="16"/>
      <c r="C593" s="69" t="s">
        <v>20</v>
      </c>
      <c r="D593" s="53" t="s">
        <v>21</v>
      </c>
      <c r="E593" s="71">
        <v>130000</v>
      </c>
      <c r="F593" s="71">
        <v>130000</v>
      </c>
      <c r="G593" s="71">
        <v>0</v>
      </c>
      <c r="H593" s="71">
        <f t="shared" si="33"/>
        <v>0</v>
      </c>
      <c r="I593" s="55">
        <v>100000</v>
      </c>
      <c r="J593" s="5"/>
      <c r="K593" s="6"/>
      <c r="L593" s="6"/>
      <c r="M593" s="6"/>
      <c r="N593" s="7"/>
      <c r="O593" s="8"/>
      <c r="P593" s="8"/>
      <c r="Q593" s="8"/>
      <c r="R593" s="7"/>
      <c r="S593"/>
      <c r="T593"/>
      <c r="U593"/>
      <c r="V593"/>
      <c r="W593"/>
      <c r="X593"/>
      <c r="Y593"/>
      <c r="Z593"/>
      <c r="AA593"/>
      <c r="AB593"/>
    </row>
    <row r="594" spans="1:28" s="19" customFormat="1" ht="12" customHeight="1">
      <c r="A594" s="1"/>
      <c r="B594" s="16"/>
      <c r="C594" s="69">
        <v>2282</v>
      </c>
      <c r="D594" s="53" t="s">
        <v>35</v>
      </c>
      <c r="E594" s="71"/>
      <c r="F594" s="71"/>
      <c r="G594" s="71"/>
      <c r="H594" s="71"/>
      <c r="I594" s="55">
        <v>150000</v>
      </c>
      <c r="J594" s="5"/>
      <c r="K594" s="6"/>
      <c r="L594" s="6"/>
      <c r="M594" s="6"/>
      <c r="N594" s="7"/>
      <c r="O594" s="8"/>
      <c r="P594" s="8"/>
      <c r="Q594" s="8"/>
      <c r="R594" s="7"/>
      <c r="S594"/>
      <c r="T594"/>
      <c r="U594"/>
      <c r="V594"/>
      <c r="W594"/>
      <c r="X594"/>
      <c r="Y594"/>
      <c r="Z594"/>
      <c r="AA594"/>
      <c r="AB594"/>
    </row>
    <row r="595" spans="1:28" s="19" customFormat="1" ht="12" customHeight="1">
      <c r="A595" s="1"/>
      <c r="B595" s="16"/>
      <c r="C595" s="65">
        <v>1013242</v>
      </c>
      <c r="D595" s="72" t="s">
        <v>184</v>
      </c>
      <c r="E595" s="67"/>
      <c r="F595" s="67"/>
      <c r="G595" s="67"/>
      <c r="H595" s="67"/>
      <c r="I595" s="68">
        <f>I596</f>
        <v>150000</v>
      </c>
      <c r="J595" s="5"/>
      <c r="K595" s="6"/>
      <c r="L595" s="6"/>
      <c r="M595" s="6"/>
      <c r="N595" s="7"/>
      <c r="O595" s="8"/>
      <c r="P595" s="8"/>
      <c r="Q595" s="8"/>
      <c r="R595" s="7"/>
      <c r="S595"/>
      <c r="T595"/>
      <c r="U595"/>
      <c r="V595"/>
      <c r="W595"/>
      <c r="X595"/>
      <c r="Y595"/>
      <c r="Z595"/>
      <c r="AA595"/>
      <c r="AB595"/>
    </row>
    <row r="596" spans="1:28" s="19" customFormat="1" ht="12" customHeight="1">
      <c r="A596" s="1"/>
      <c r="B596" s="16"/>
      <c r="C596" s="69" t="s">
        <v>165</v>
      </c>
      <c r="D596" s="53" t="s">
        <v>150</v>
      </c>
      <c r="E596" s="71"/>
      <c r="F596" s="71"/>
      <c r="G596" s="71"/>
      <c r="H596" s="71"/>
      <c r="I596" s="55">
        <v>150000</v>
      </c>
      <c r="J596" s="5"/>
      <c r="K596" s="6"/>
      <c r="L596" s="6"/>
      <c r="M596" s="6"/>
      <c r="N596" s="7"/>
      <c r="O596" s="8"/>
      <c r="P596" s="8"/>
      <c r="Q596" s="8"/>
      <c r="R596" s="7"/>
      <c r="S596"/>
      <c r="T596"/>
      <c r="U596"/>
      <c r="V596"/>
      <c r="W596"/>
      <c r="X596"/>
      <c r="Y596"/>
      <c r="Z596"/>
      <c r="AA596"/>
      <c r="AB596"/>
    </row>
    <row r="597" spans="1:28" s="19" customFormat="1" ht="12" customHeight="1">
      <c r="A597" s="1"/>
      <c r="B597" s="16"/>
      <c r="C597" s="65" t="s">
        <v>185</v>
      </c>
      <c r="D597" s="66" t="s">
        <v>186</v>
      </c>
      <c r="E597" s="67">
        <v>3837600</v>
      </c>
      <c r="F597" s="67">
        <v>3279424</v>
      </c>
      <c r="G597" s="67">
        <v>2503830.7600000007</v>
      </c>
      <c r="H597" s="67">
        <f t="shared" si="33"/>
        <v>3338441.0133333346</v>
      </c>
      <c r="I597" s="68">
        <f>I598+I599+I600+I601+I602+I603+I604+I605+I606+I607+I608</f>
        <v>4092416</v>
      </c>
      <c r="J597" s="5"/>
      <c r="K597" s="6"/>
      <c r="L597" s="6"/>
      <c r="M597" s="6"/>
      <c r="N597" s="7"/>
      <c r="O597" s="8"/>
      <c r="P597" s="8"/>
      <c r="Q597" s="8"/>
      <c r="R597" s="7"/>
      <c r="S597"/>
      <c r="T597"/>
      <c r="U597"/>
      <c r="V597"/>
      <c r="W597"/>
      <c r="X597"/>
      <c r="Y597"/>
      <c r="Z597"/>
      <c r="AA597"/>
      <c r="AB597"/>
    </row>
    <row r="598" spans="1:28" s="19" customFormat="1" ht="12" customHeight="1">
      <c r="A598" s="1"/>
      <c r="B598" s="16"/>
      <c r="C598" s="69" t="s">
        <v>14</v>
      </c>
      <c r="D598" s="53" t="s">
        <v>15</v>
      </c>
      <c r="E598" s="71">
        <v>2767465</v>
      </c>
      <c r="F598" s="71">
        <v>2276749</v>
      </c>
      <c r="G598" s="71">
        <v>1880917.68</v>
      </c>
      <c r="H598" s="71">
        <f t="shared" si="33"/>
        <v>2507890.2400000002</v>
      </c>
      <c r="I598" s="55">
        <f>3298020-R598</f>
        <v>2790632</v>
      </c>
      <c r="J598" s="5">
        <f>E598/11</f>
        <v>251587.72727272726</v>
      </c>
      <c r="K598" s="6">
        <f>J598*1.031</f>
        <v>259386.94681818178</v>
      </c>
      <c r="L598" s="6">
        <f>(J598*9)+(K598*3)</f>
        <v>3042450.3859090907</v>
      </c>
      <c r="M598" s="6">
        <f>I598-L598</f>
        <v>-251818.38590909075</v>
      </c>
      <c r="N598" s="7">
        <f>L598*1.084</f>
        <v>3298016.2183254547</v>
      </c>
      <c r="O598" s="8"/>
      <c r="P598" s="8"/>
      <c r="Q598" s="8">
        <f>I598/13*2</f>
        <v>429328</v>
      </c>
      <c r="R598" s="7">
        <v>507388</v>
      </c>
      <c r="S598"/>
      <c r="T598"/>
      <c r="U598"/>
      <c r="V598"/>
      <c r="W598"/>
      <c r="X598"/>
      <c r="Y598"/>
      <c r="Z598"/>
      <c r="AA598"/>
      <c r="AB598"/>
    </row>
    <row r="599" spans="1:28" s="19" customFormat="1" ht="12" customHeight="1">
      <c r="A599" s="1"/>
      <c r="B599" s="16"/>
      <c r="C599" s="69" t="s">
        <v>16</v>
      </c>
      <c r="D599" s="53" t="s">
        <v>17</v>
      </c>
      <c r="E599" s="71">
        <v>653213</v>
      </c>
      <c r="F599" s="71">
        <v>625000</v>
      </c>
      <c r="G599" s="71">
        <v>408643.82</v>
      </c>
      <c r="H599" s="71">
        <f t="shared" si="33"/>
        <v>544858.42666666664</v>
      </c>
      <c r="I599" s="55">
        <f>778445-R599</f>
        <v>658684</v>
      </c>
      <c r="J599" s="5">
        <f>E599/11</f>
        <v>59383</v>
      </c>
      <c r="K599" s="6">
        <f>J599*1.031</f>
        <v>61223.872999999992</v>
      </c>
      <c r="L599" s="6">
        <f>(J599*9)+(K599*3)</f>
        <v>718118.61899999995</v>
      </c>
      <c r="M599" s="6">
        <f>I599-L599</f>
        <v>-59434.618999999948</v>
      </c>
      <c r="N599" s="7">
        <f>L599*1.084</f>
        <v>778440.58299599995</v>
      </c>
      <c r="O599" s="8"/>
      <c r="P599" s="8"/>
      <c r="Q599" s="8">
        <f>I599/13*2</f>
        <v>101336</v>
      </c>
      <c r="R599" s="7">
        <v>119761</v>
      </c>
      <c r="S599"/>
      <c r="T599"/>
      <c r="U599"/>
      <c r="V599"/>
      <c r="W599"/>
      <c r="X599"/>
      <c r="Y599"/>
      <c r="Z599"/>
      <c r="AA599"/>
      <c r="AB599"/>
    </row>
    <row r="600" spans="1:28" s="19" customFormat="1" ht="14.25" customHeight="1">
      <c r="A600" s="1"/>
      <c r="B600" s="16"/>
      <c r="C600" s="69" t="s">
        <v>18</v>
      </c>
      <c r="D600" s="53" t="s">
        <v>19</v>
      </c>
      <c r="E600" s="71">
        <v>121000</v>
      </c>
      <c r="F600" s="71">
        <v>121000</v>
      </c>
      <c r="G600" s="71">
        <v>81771.16</v>
      </c>
      <c r="H600" s="71">
        <f t="shared" si="33"/>
        <v>109028.21333333335</v>
      </c>
      <c r="I600" s="55">
        <v>100000</v>
      </c>
      <c r="J600" s="5"/>
      <c r="K600" s="6"/>
      <c r="L600" s="6"/>
      <c r="M600" s="6"/>
      <c r="N600" s="7"/>
      <c r="O600" s="8"/>
      <c r="P600" s="8"/>
      <c r="Q600" s="8"/>
      <c r="R600" s="7"/>
      <c r="S600"/>
      <c r="T600"/>
      <c r="U600"/>
      <c r="V600"/>
      <c r="W600"/>
      <c r="X600"/>
      <c r="Y600"/>
      <c r="Z600"/>
      <c r="AA600"/>
      <c r="AB600"/>
    </row>
    <row r="601" spans="1:28" s="19" customFormat="1" ht="12" customHeight="1">
      <c r="A601" s="1"/>
      <c r="B601" s="16"/>
      <c r="C601" s="69" t="s">
        <v>20</v>
      </c>
      <c r="D601" s="53" t="s">
        <v>21</v>
      </c>
      <c r="E601" s="71">
        <v>69500</v>
      </c>
      <c r="F601" s="71">
        <v>69500</v>
      </c>
      <c r="G601" s="71">
        <v>39294.25</v>
      </c>
      <c r="H601" s="71">
        <f t="shared" si="33"/>
        <v>52392.333333333328</v>
      </c>
      <c r="I601" s="55">
        <v>50000</v>
      </c>
      <c r="J601" s="5"/>
      <c r="K601" s="6"/>
      <c r="L601" s="6"/>
      <c r="M601" s="6"/>
      <c r="N601" s="7"/>
      <c r="O601" s="8"/>
      <c r="P601" s="8"/>
      <c r="Q601" s="8"/>
      <c r="R601" s="7"/>
      <c r="S601"/>
      <c r="T601"/>
      <c r="U601"/>
      <c r="V601"/>
      <c r="W601"/>
      <c r="X601"/>
      <c r="Y601"/>
      <c r="Z601"/>
      <c r="AA601"/>
      <c r="AB601"/>
    </row>
    <row r="602" spans="1:28" s="19" customFormat="1" ht="12" customHeight="1">
      <c r="A602" s="1"/>
      <c r="B602" s="16"/>
      <c r="C602" s="69">
        <v>2250</v>
      </c>
      <c r="D602" s="53" t="s">
        <v>108</v>
      </c>
      <c r="E602" s="71"/>
      <c r="F602" s="71"/>
      <c r="G602" s="71"/>
      <c r="H602" s="71"/>
      <c r="I602" s="55">
        <v>15000</v>
      </c>
      <c r="J602" s="5"/>
      <c r="K602" s="6"/>
      <c r="L602" s="6"/>
      <c r="M602" s="6"/>
      <c r="N602" s="7"/>
      <c r="O602" s="8"/>
      <c r="P602" s="8"/>
      <c r="Q602" s="8"/>
      <c r="R602" s="7"/>
      <c r="S602"/>
      <c r="T602"/>
      <c r="U602"/>
      <c r="V602"/>
      <c r="W602"/>
      <c r="X602"/>
      <c r="Y602"/>
      <c r="Z602"/>
      <c r="AA602"/>
      <c r="AB602"/>
    </row>
    <row r="603" spans="1:28" s="19" customFormat="1" ht="12" customHeight="1">
      <c r="A603" s="1"/>
      <c r="B603" s="16"/>
      <c r="C603" s="69" t="s">
        <v>24</v>
      </c>
      <c r="D603" s="53" t="s">
        <v>109</v>
      </c>
      <c r="E603" s="71">
        <v>198847</v>
      </c>
      <c r="F603" s="71">
        <v>161100</v>
      </c>
      <c r="G603" s="71">
        <v>86814.99</v>
      </c>
      <c r="H603" s="71">
        <f t="shared" si="33"/>
        <v>115753.32</v>
      </c>
      <c r="I603" s="55">
        <v>350000</v>
      </c>
      <c r="J603" s="5"/>
      <c r="K603" s="6"/>
      <c r="L603" s="6"/>
      <c r="M603" s="6"/>
      <c r="N603" s="7"/>
      <c r="O603" s="8"/>
      <c r="P603" s="8"/>
      <c r="Q603" s="8"/>
      <c r="R603" s="7"/>
      <c r="S603"/>
      <c r="T603"/>
      <c r="U603"/>
      <c r="V603"/>
      <c r="W603"/>
      <c r="X603"/>
      <c r="Y603"/>
      <c r="Z603"/>
      <c r="AA603"/>
      <c r="AB603"/>
    </row>
    <row r="604" spans="1:28" s="19" customFormat="1" ht="12.75" customHeight="1">
      <c r="A604" s="1"/>
      <c r="B604" s="16"/>
      <c r="C604" s="69" t="s">
        <v>26</v>
      </c>
      <c r="D604" s="53" t="s">
        <v>110</v>
      </c>
      <c r="E604" s="71">
        <v>3034</v>
      </c>
      <c r="F604" s="71">
        <v>3034</v>
      </c>
      <c r="G604" s="71">
        <v>2265.9899999999998</v>
      </c>
      <c r="H604" s="71">
        <f t="shared" si="33"/>
        <v>3021.3199999999997</v>
      </c>
      <c r="I604" s="55">
        <v>3400</v>
      </c>
      <c r="J604" s="5"/>
      <c r="K604" s="6"/>
      <c r="L604" s="6"/>
      <c r="M604" s="6"/>
      <c r="N604" s="7"/>
      <c r="O604" s="8"/>
      <c r="P604" s="8"/>
      <c r="Q604" s="8"/>
      <c r="R604" s="7"/>
      <c r="S604"/>
      <c r="T604"/>
      <c r="U604"/>
      <c r="V604"/>
      <c r="W604"/>
      <c r="X604"/>
      <c r="Y604"/>
      <c r="Z604"/>
      <c r="AA604"/>
      <c r="AB604"/>
    </row>
    <row r="605" spans="1:28" s="19" customFormat="1" ht="12" customHeight="1">
      <c r="A605" s="1"/>
      <c r="B605" s="16"/>
      <c r="C605" s="69" t="s">
        <v>28</v>
      </c>
      <c r="D605" s="53" t="s">
        <v>29</v>
      </c>
      <c r="E605" s="71">
        <v>24541</v>
      </c>
      <c r="F605" s="71">
        <v>23041</v>
      </c>
      <c r="G605" s="71">
        <v>4122.87</v>
      </c>
      <c r="H605" s="71">
        <f t="shared" si="33"/>
        <v>5497.16</v>
      </c>
      <c r="I605" s="55">
        <v>34200</v>
      </c>
      <c r="J605" s="5"/>
      <c r="K605" s="6"/>
      <c r="L605" s="6"/>
      <c r="M605" s="6"/>
      <c r="N605" s="7"/>
      <c r="O605" s="8"/>
      <c r="P605" s="8"/>
      <c r="Q605" s="8"/>
      <c r="R605" s="7"/>
      <c r="S605"/>
      <c r="T605"/>
      <c r="U605"/>
      <c r="V605"/>
      <c r="W605"/>
      <c r="X605"/>
      <c r="Y605"/>
      <c r="Z605"/>
      <c r="AA605"/>
      <c r="AB605"/>
    </row>
    <row r="606" spans="1:28" s="19" customFormat="1" ht="12" customHeight="1">
      <c r="A606" s="1"/>
      <c r="B606" s="16"/>
      <c r="C606" s="69">
        <v>2282</v>
      </c>
      <c r="D606" s="53" t="s">
        <v>35</v>
      </c>
      <c r="E606" s="71"/>
      <c r="F606" s="71"/>
      <c r="G606" s="71"/>
      <c r="H606" s="71"/>
      <c r="I606" s="55">
        <v>76500</v>
      </c>
      <c r="J606" s="5"/>
      <c r="K606" s="6"/>
      <c r="L606" s="6"/>
      <c r="M606" s="6"/>
      <c r="N606" s="7"/>
      <c r="O606" s="8"/>
      <c r="P606" s="8"/>
      <c r="Q606" s="8"/>
      <c r="R606" s="7"/>
      <c r="S606"/>
      <c r="T606"/>
      <c r="U606"/>
      <c r="V606"/>
      <c r="W606"/>
      <c r="X606"/>
      <c r="Y606"/>
      <c r="Z606"/>
      <c r="AA606"/>
      <c r="AB606"/>
    </row>
    <row r="607" spans="1:28" s="19" customFormat="1" ht="12" customHeight="1">
      <c r="A607" s="1"/>
      <c r="B607" s="16"/>
      <c r="C607" s="80">
        <v>3110</v>
      </c>
      <c r="D607" s="123" t="s">
        <v>180</v>
      </c>
      <c r="E607" s="83"/>
      <c r="F607" s="83"/>
      <c r="G607" s="83"/>
      <c r="H607" s="83"/>
      <c r="I607" s="55">
        <v>14000</v>
      </c>
      <c r="J607" s="5"/>
      <c r="K607" s="6"/>
      <c r="L607" s="6"/>
      <c r="M607" s="6"/>
      <c r="N607" s="7"/>
      <c r="O607" s="8" t="s">
        <v>187</v>
      </c>
      <c r="P607" s="8"/>
      <c r="Q607" s="8"/>
      <c r="R607" s="7"/>
      <c r="S607"/>
      <c r="T607"/>
      <c r="U607"/>
      <c r="V607"/>
      <c r="W607"/>
      <c r="X607"/>
      <c r="Y607"/>
      <c r="Z607"/>
      <c r="AA607"/>
      <c r="AB607"/>
    </row>
    <row r="608" spans="1:28" s="19" customFormat="1" ht="12" hidden="1" customHeight="1">
      <c r="A608" s="1"/>
      <c r="B608" s="16"/>
      <c r="C608" s="80">
        <v>3132</v>
      </c>
      <c r="D608" s="123" t="s">
        <v>188</v>
      </c>
      <c r="E608" s="83"/>
      <c r="F608" s="83"/>
      <c r="G608" s="83"/>
      <c r="H608" s="83"/>
      <c r="I608" s="55">
        <v>0</v>
      </c>
      <c r="J608" s="5"/>
      <c r="K608" s="6"/>
      <c r="L608" s="6"/>
      <c r="M608" s="6"/>
      <c r="N608" s="7"/>
      <c r="O608" s="8" t="s">
        <v>189</v>
      </c>
      <c r="P608" s="8"/>
      <c r="Q608" s="8"/>
      <c r="R608" s="7"/>
      <c r="S608"/>
      <c r="T608"/>
      <c r="U608"/>
      <c r="V608"/>
      <c r="W608"/>
      <c r="X608"/>
      <c r="Y608"/>
      <c r="Z608"/>
      <c r="AA608"/>
      <c r="AB608"/>
    </row>
    <row r="609" spans="1:28" s="19" customFormat="1" ht="55.5" customHeight="1">
      <c r="A609" s="1"/>
      <c r="B609" s="16"/>
      <c r="C609" s="124">
        <v>1017691</v>
      </c>
      <c r="D609" s="125" t="s">
        <v>190</v>
      </c>
      <c r="E609" s="126"/>
      <c r="F609" s="126"/>
      <c r="G609" s="126"/>
      <c r="H609" s="126"/>
      <c r="I609" s="68">
        <f>I610</f>
        <v>80000</v>
      </c>
      <c r="J609" s="5"/>
      <c r="K609" s="6"/>
      <c r="L609" s="6"/>
      <c r="M609" s="6"/>
      <c r="N609" s="7"/>
      <c r="O609" s="8"/>
      <c r="P609" s="8"/>
      <c r="Q609" s="8"/>
      <c r="R609" s="7"/>
      <c r="S609"/>
      <c r="T609"/>
      <c r="U609"/>
      <c r="V609"/>
      <c r="W609"/>
      <c r="X609"/>
      <c r="Y609"/>
      <c r="Z609"/>
      <c r="AA609"/>
      <c r="AB609"/>
    </row>
    <row r="610" spans="1:28" s="19" customFormat="1" ht="12" customHeight="1">
      <c r="A610" s="1"/>
      <c r="B610" s="16"/>
      <c r="C610" s="80">
        <v>3110</v>
      </c>
      <c r="D610" s="123" t="s">
        <v>191</v>
      </c>
      <c r="E610" s="83"/>
      <c r="F610" s="83"/>
      <c r="G610" s="83"/>
      <c r="H610" s="83"/>
      <c r="I610" s="55">
        <v>80000</v>
      </c>
      <c r="J610" s="5"/>
      <c r="K610" s="6"/>
      <c r="L610" s="6"/>
      <c r="M610" s="6"/>
      <c r="N610" s="7"/>
      <c r="O610" s="8"/>
      <c r="P610" s="8"/>
      <c r="Q610" s="8"/>
      <c r="R610" s="7"/>
      <c r="S610"/>
      <c r="T610"/>
      <c r="U610"/>
      <c r="V610"/>
      <c r="W610"/>
      <c r="X610"/>
      <c r="Y610"/>
      <c r="Z610"/>
      <c r="AA610"/>
      <c r="AB610"/>
    </row>
    <row r="611" spans="1:28" s="19" customFormat="1" ht="14.25" customHeight="1">
      <c r="A611" s="1"/>
      <c r="B611" s="16"/>
      <c r="C611" s="65" t="s">
        <v>192</v>
      </c>
      <c r="D611" s="66" t="s">
        <v>193</v>
      </c>
      <c r="E611" s="67">
        <v>2284983</v>
      </c>
      <c r="F611" s="67">
        <v>1973566</v>
      </c>
      <c r="G611" s="67">
        <v>1334211.3800000001</v>
      </c>
      <c r="H611" s="67">
        <f>(G611/9)*12</f>
        <v>1778948.5066666668</v>
      </c>
      <c r="I611" s="68">
        <f>I612+I613+I614+I615+I616+I617+I618+I619+I620+I621+I622+I623</f>
        <v>2059068</v>
      </c>
      <c r="J611" s="5"/>
      <c r="K611" s="6"/>
      <c r="L611" s="6"/>
      <c r="M611" s="6"/>
      <c r="N611" s="7"/>
      <c r="O611" s="8"/>
      <c r="P611" s="8"/>
      <c r="Q611" s="8"/>
      <c r="R611" s="7"/>
      <c r="S611"/>
      <c r="T611"/>
      <c r="U611"/>
      <c r="V611"/>
      <c r="W611"/>
      <c r="X611"/>
      <c r="Y611"/>
      <c r="Z611"/>
      <c r="AA611"/>
      <c r="AB611"/>
    </row>
    <row r="612" spans="1:28" ht="12" customHeight="1">
      <c r="A612" s="1"/>
      <c r="B612" s="16"/>
      <c r="C612" s="69" t="s">
        <v>14</v>
      </c>
      <c r="D612" s="53" t="s">
        <v>15</v>
      </c>
      <c r="E612" s="71">
        <v>1152003</v>
      </c>
      <c r="F612" s="71">
        <v>1055300</v>
      </c>
      <c r="G612" s="71">
        <v>852190.67</v>
      </c>
      <c r="H612" s="71">
        <f t="shared" si="33"/>
        <v>1136254.2266666666</v>
      </c>
      <c r="I612" s="55">
        <f>1372855-R612</f>
        <v>1161647</v>
      </c>
      <c r="J612" s="5">
        <f>E612/11</f>
        <v>104727.54545454546</v>
      </c>
      <c r="K612" s="6">
        <f>J612*1.031</f>
        <v>107974.09936363636</v>
      </c>
      <c r="L612" s="6">
        <f>(J612*9)+(K612*3)</f>
        <v>1266470.2071818181</v>
      </c>
      <c r="M612" s="6">
        <f>I612-L612</f>
        <v>-104823.20718181808</v>
      </c>
      <c r="N612" s="7">
        <f>L612*1.084</f>
        <v>1372853.704585091</v>
      </c>
      <c r="Q612" s="8">
        <f>I612/13*2</f>
        <v>178714.92307692306</v>
      </c>
      <c r="R612" s="7">
        <v>211208</v>
      </c>
    </row>
    <row r="613" spans="1:28" ht="12" customHeight="1">
      <c r="A613" s="1"/>
      <c r="B613" s="16"/>
      <c r="C613" s="69" t="s">
        <v>16</v>
      </c>
      <c r="D613" s="53" t="s">
        <v>17</v>
      </c>
      <c r="E613" s="71">
        <v>285720</v>
      </c>
      <c r="F613" s="71">
        <v>240000</v>
      </c>
      <c r="G613" s="71">
        <v>210970.66</v>
      </c>
      <c r="H613" s="71">
        <f t="shared" si="33"/>
        <v>281294.21333333332</v>
      </c>
      <c r="I613" s="55">
        <f>340495-R613</f>
        <v>288111</v>
      </c>
      <c r="J613" s="5">
        <f>E613/11</f>
        <v>25974.545454545456</v>
      </c>
      <c r="K613" s="6">
        <f>J613*1.031</f>
        <v>26779.756363636363</v>
      </c>
      <c r="L613" s="6">
        <f>(J613*9)+(K613*3)</f>
        <v>314110.17818181822</v>
      </c>
      <c r="M613" s="6">
        <f>I613-L613</f>
        <v>-25999.178181818221</v>
      </c>
      <c r="N613" s="7">
        <f>L613*1.084</f>
        <v>340495.43314909097</v>
      </c>
      <c r="Q613" s="8">
        <f>I613/13*2</f>
        <v>44324.769230769234</v>
      </c>
      <c r="R613" s="7">
        <v>52384</v>
      </c>
    </row>
    <row r="614" spans="1:28" ht="16.5" customHeight="1">
      <c r="A614" s="1"/>
      <c r="B614" s="16"/>
      <c r="C614" s="69" t="s">
        <v>18</v>
      </c>
      <c r="D614" s="53" t="s">
        <v>19</v>
      </c>
      <c r="E614" s="71">
        <v>190000</v>
      </c>
      <c r="F614" s="71">
        <v>143500</v>
      </c>
      <c r="G614" s="71">
        <v>109514.79</v>
      </c>
      <c r="H614" s="71">
        <f t="shared" si="33"/>
        <v>146019.72</v>
      </c>
      <c r="I614" s="55">
        <v>110000</v>
      </c>
      <c r="J614" s="5"/>
    </row>
    <row r="615" spans="1:28" ht="12" customHeight="1">
      <c r="A615" s="1"/>
      <c r="B615" s="16"/>
      <c r="C615" s="69" t="s">
        <v>20</v>
      </c>
      <c r="D615" s="53" t="s">
        <v>21</v>
      </c>
      <c r="E615" s="71">
        <v>446884</v>
      </c>
      <c r="F615" s="71">
        <v>405500</v>
      </c>
      <c r="G615" s="71">
        <v>111802.72</v>
      </c>
      <c r="H615" s="71">
        <f t="shared" si="33"/>
        <v>149070.29333333333</v>
      </c>
      <c r="I615" s="55">
        <v>120000</v>
      </c>
      <c r="J615" s="5"/>
    </row>
    <row r="616" spans="1:28" ht="12" customHeight="1">
      <c r="A616" s="1"/>
      <c r="B616" s="16"/>
      <c r="C616" s="69" t="s">
        <v>22</v>
      </c>
      <c r="D616" s="53" t="s">
        <v>108</v>
      </c>
      <c r="E616" s="71">
        <v>4000</v>
      </c>
      <c r="F616" s="71">
        <v>4000</v>
      </c>
      <c r="G616" s="71">
        <v>492</v>
      </c>
      <c r="H616" s="71">
        <f t="shared" si="33"/>
        <v>656</v>
      </c>
      <c r="I616" s="55">
        <v>4000</v>
      </c>
      <c r="J616" s="5"/>
    </row>
    <row r="617" spans="1:28" ht="13.5" customHeight="1">
      <c r="A617" s="1"/>
      <c r="B617" s="16"/>
      <c r="C617" s="69" t="s">
        <v>26</v>
      </c>
      <c r="D617" s="53" t="s">
        <v>110</v>
      </c>
      <c r="E617" s="71">
        <v>10000</v>
      </c>
      <c r="F617" s="71">
        <v>7560</v>
      </c>
      <c r="G617" s="71">
        <v>796.07</v>
      </c>
      <c r="H617" s="71">
        <f t="shared" si="33"/>
        <v>1061.4266666666667</v>
      </c>
      <c r="I617" s="55">
        <v>1880</v>
      </c>
      <c r="J617" s="5"/>
    </row>
    <row r="618" spans="1:28" ht="12" customHeight="1">
      <c r="A618" s="1"/>
      <c r="B618" s="16"/>
      <c r="C618" s="69" t="s">
        <v>28</v>
      </c>
      <c r="D618" s="53" t="s">
        <v>29</v>
      </c>
      <c r="E618" s="71">
        <v>22456</v>
      </c>
      <c r="F618" s="71">
        <v>18236</v>
      </c>
      <c r="G618" s="71">
        <v>12283.14</v>
      </c>
      <c r="H618" s="71">
        <f t="shared" si="33"/>
        <v>16377.52</v>
      </c>
      <c r="I618" s="55">
        <v>51930</v>
      </c>
      <c r="J618" s="5"/>
    </row>
    <row r="619" spans="1:28" ht="12" customHeight="1">
      <c r="A619" s="1"/>
      <c r="B619" s="16"/>
      <c r="C619" s="69" t="s">
        <v>30</v>
      </c>
      <c r="D619" s="53" t="s">
        <v>31</v>
      </c>
      <c r="E619" s="71">
        <v>154000</v>
      </c>
      <c r="F619" s="71">
        <v>80000</v>
      </c>
      <c r="G619" s="71">
        <v>25541.33</v>
      </c>
      <c r="H619" s="71">
        <f t="shared" si="33"/>
        <v>34055.106666666667</v>
      </c>
      <c r="I619" s="55">
        <v>185900</v>
      </c>
      <c r="J619" s="5"/>
    </row>
    <row r="620" spans="1:28" ht="13.5" customHeight="1">
      <c r="A620" s="1"/>
      <c r="B620" s="16"/>
      <c r="C620" s="69" t="s">
        <v>32</v>
      </c>
      <c r="D620" s="53" t="s">
        <v>111</v>
      </c>
      <c r="E620" s="71">
        <v>7800</v>
      </c>
      <c r="F620" s="71">
        <v>7350</v>
      </c>
      <c r="G620" s="71">
        <v>0</v>
      </c>
      <c r="H620" s="71">
        <f t="shared" si="33"/>
        <v>0</v>
      </c>
      <c r="I620" s="55">
        <v>7200</v>
      </c>
      <c r="J620" s="5"/>
    </row>
    <row r="621" spans="1:28" ht="19.5" customHeight="1">
      <c r="A621" s="1"/>
      <c r="B621" s="16"/>
      <c r="C621" s="80" t="s">
        <v>34</v>
      </c>
      <c r="D621" s="123" t="s">
        <v>35</v>
      </c>
      <c r="E621" s="83">
        <v>12120</v>
      </c>
      <c r="F621" s="83">
        <v>12120</v>
      </c>
      <c r="G621" s="83">
        <v>10620</v>
      </c>
      <c r="H621" s="83">
        <f t="shared" si="33"/>
        <v>14160</v>
      </c>
      <c r="I621" s="55">
        <v>52400</v>
      </c>
      <c r="J621" s="5"/>
    </row>
    <row r="622" spans="1:28" ht="14.25" customHeight="1">
      <c r="A622" s="1"/>
      <c r="B622" s="16"/>
      <c r="C622" s="80">
        <v>3110</v>
      </c>
      <c r="D622" s="123" t="s">
        <v>180</v>
      </c>
      <c r="E622" s="83"/>
      <c r="F622" s="83"/>
      <c r="G622" s="83"/>
      <c r="H622" s="83"/>
      <c r="I622" s="55">
        <v>76000</v>
      </c>
      <c r="J622" s="5"/>
      <c r="O622" s="8" t="s">
        <v>194</v>
      </c>
    </row>
    <row r="623" spans="1:28" ht="16.5" hidden="1" customHeight="1">
      <c r="A623" s="1"/>
      <c r="B623" s="16"/>
      <c r="C623" s="87">
        <v>3132</v>
      </c>
      <c r="D623" s="88" t="s">
        <v>188</v>
      </c>
      <c r="E623" s="71"/>
      <c r="F623" s="71"/>
      <c r="G623" s="71"/>
      <c r="H623" s="71"/>
      <c r="I623" s="91">
        <v>0</v>
      </c>
      <c r="J623" s="5"/>
      <c r="O623" s="8" t="s">
        <v>195</v>
      </c>
    </row>
    <row r="624" spans="1:28" ht="26.25" customHeight="1">
      <c r="A624" s="1"/>
      <c r="B624" s="16"/>
      <c r="C624" s="65" t="s">
        <v>196</v>
      </c>
      <c r="D624" s="66" t="s">
        <v>197</v>
      </c>
      <c r="E624" s="67">
        <v>9522110</v>
      </c>
      <c r="F624" s="67">
        <v>8304756</v>
      </c>
      <c r="G624" s="67">
        <v>5574933.6900000004</v>
      </c>
      <c r="H624" s="67">
        <f t="shared" si="33"/>
        <v>7433244.9199999999</v>
      </c>
      <c r="I624" s="68">
        <f>I625+I626+I627+I628+I629+I630+I631+I632+I633+I634+I635</f>
        <v>8684082</v>
      </c>
      <c r="J624" s="5"/>
    </row>
    <row r="625" spans="1:28" ht="12" customHeight="1">
      <c r="A625" s="1"/>
      <c r="B625" s="16"/>
      <c r="C625" s="69" t="s">
        <v>14</v>
      </c>
      <c r="D625" s="53" t="s">
        <v>15</v>
      </c>
      <c r="E625" s="71">
        <v>6046909</v>
      </c>
      <c r="F625" s="71">
        <v>5365974</v>
      </c>
      <c r="G625" s="71">
        <v>4080177.09</v>
      </c>
      <c r="H625" s="71">
        <f t="shared" si="33"/>
        <v>5440236.1200000001</v>
      </c>
      <c r="I625" s="55">
        <f>6605649-R625</f>
        <v>5589395</v>
      </c>
      <c r="J625" s="5">
        <f>E625/12</f>
        <v>503909.08333333331</v>
      </c>
      <c r="K625" s="6">
        <f>J625*1.031</f>
        <v>519530.26491666661</v>
      </c>
      <c r="L625" s="6">
        <f>(J625*9)+(K625*3)</f>
        <v>6093772.5447499994</v>
      </c>
      <c r="M625" s="6">
        <f>I625-L625</f>
        <v>-504377.54474999942</v>
      </c>
      <c r="N625" s="7">
        <f>L625*1.084</f>
        <v>6605649.4385089995</v>
      </c>
      <c r="Q625" s="8">
        <f>I625/13*2</f>
        <v>859906.92307692312</v>
      </c>
      <c r="R625" s="7">
        <v>1016254</v>
      </c>
    </row>
    <row r="626" spans="1:28" ht="12" customHeight="1">
      <c r="A626" s="1"/>
      <c r="B626" s="16"/>
      <c r="C626" s="69" t="s">
        <v>16</v>
      </c>
      <c r="D626" s="53" t="s">
        <v>17</v>
      </c>
      <c r="E626" s="71">
        <v>1330320</v>
      </c>
      <c r="F626" s="71">
        <v>1180490</v>
      </c>
      <c r="G626" s="71">
        <v>874756.98</v>
      </c>
      <c r="H626" s="71">
        <f t="shared" si="33"/>
        <v>1166342.6400000001</v>
      </c>
      <c r="I626" s="55">
        <f>1453243-R626</f>
        <v>1229687</v>
      </c>
      <c r="J626" s="5">
        <f>E626/12</f>
        <v>110860</v>
      </c>
      <c r="K626" s="6">
        <f>J626*1.031</f>
        <v>114296.65999999999</v>
      </c>
      <c r="L626" s="6">
        <f>(J626*9)+(K626*3)</f>
        <v>1340629.98</v>
      </c>
      <c r="M626" s="6">
        <f>I626-L626</f>
        <v>-110942.97999999998</v>
      </c>
      <c r="N626" s="7">
        <f>L626*1.084</f>
        <v>1453242.8983200002</v>
      </c>
      <c r="Q626" s="8">
        <f>I626/13*2</f>
        <v>189182.61538461538</v>
      </c>
      <c r="R626" s="7">
        <v>223556</v>
      </c>
    </row>
    <row r="627" spans="1:28" ht="14.25" customHeight="1">
      <c r="A627" s="1"/>
      <c r="B627" s="16"/>
      <c r="C627" s="69" t="s">
        <v>18</v>
      </c>
      <c r="D627" s="53" t="s">
        <v>19</v>
      </c>
      <c r="E627" s="71">
        <v>306000</v>
      </c>
      <c r="F627" s="71">
        <v>306000</v>
      </c>
      <c r="G627" s="71">
        <v>212952.24</v>
      </c>
      <c r="H627" s="71">
        <f t="shared" si="33"/>
        <v>283936.32</v>
      </c>
      <c r="I627" s="55">
        <v>220000</v>
      </c>
      <c r="J627" s="5"/>
    </row>
    <row r="628" spans="1:28" s="19" customFormat="1" ht="12" customHeight="1">
      <c r="A628" s="1"/>
      <c r="B628" s="16"/>
      <c r="C628" s="69" t="s">
        <v>20</v>
      </c>
      <c r="D628" s="53" t="s">
        <v>21</v>
      </c>
      <c r="E628" s="71">
        <v>226271</v>
      </c>
      <c r="F628" s="71">
        <v>208271</v>
      </c>
      <c r="G628" s="71">
        <v>119722</v>
      </c>
      <c r="H628" s="71">
        <f t="shared" si="33"/>
        <v>159629.33333333334</v>
      </c>
      <c r="I628" s="55">
        <v>120000</v>
      </c>
      <c r="J628" s="5"/>
      <c r="K628" s="6"/>
      <c r="L628" s="6"/>
      <c r="M628" s="6"/>
      <c r="N628" s="7"/>
      <c r="O628" s="8"/>
      <c r="P628" s="8"/>
      <c r="Q628" s="8"/>
      <c r="R628" s="7"/>
      <c r="S628"/>
      <c r="T628"/>
      <c r="U628"/>
      <c r="V628"/>
      <c r="W628"/>
      <c r="X628"/>
      <c r="Y628"/>
      <c r="Z628"/>
      <c r="AA628"/>
      <c r="AB628"/>
    </row>
    <row r="629" spans="1:28" s="19" customFormat="1" ht="12" customHeight="1">
      <c r="A629" s="1"/>
      <c r="B629" s="16"/>
      <c r="C629" s="69" t="s">
        <v>24</v>
      </c>
      <c r="D629" s="53" t="s">
        <v>109</v>
      </c>
      <c r="E629" s="71">
        <v>75000</v>
      </c>
      <c r="F629" s="71">
        <v>44264</v>
      </c>
      <c r="G629" s="71">
        <v>20538.88</v>
      </c>
      <c r="H629" s="71">
        <f t="shared" si="33"/>
        <v>27385.173333333336</v>
      </c>
      <c r="I629" s="55">
        <v>100000</v>
      </c>
      <c r="J629" s="5"/>
      <c r="K629" s="6"/>
      <c r="L629" s="6"/>
      <c r="M629" s="6"/>
      <c r="N629" s="7"/>
      <c r="O629" s="8"/>
      <c r="P629" s="8"/>
      <c r="Q629" s="8"/>
      <c r="R629" s="7"/>
      <c r="S629"/>
      <c r="T629"/>
      <c r="U629"/>
      <c r="V629"/>
      <c r="W629"/>
      <c r="X629"/>
      <c r="Y629"/>
      <c r="Z629"/>
      <c r="AA629"/>
      <c r="AB629"/>
    </row>
    <row r="630" spans="1:28" s="19" customFormat="1" ht="14.25" customHeight="1">
      <c r="A630" s="1"/>
      <c r="B630" s="16"/>
      <c r="C630" s="69" t="s">
        <v>26</v>
      </c>
      <c r="D630" s="53" t="s">
        <v>110</v>
      </c>
      <c r="E630" s="71">
        <v>11976</v>
      </c>
      <c r="F630" s="71">
        <v>11976</v>
      </c>
      <c r="G630" s="71">
        <v>3044</v>
      </c>
      <c r="H630" s="71">
        <f t="shared" ref="H630:H665" si="34">(G630/9)*12</f>
        <v>4058.666666666667</v>
      </c>
      <c r="I630" s="55">
        <v>15000</v>
      </c>
      <c r="J630" s="5"/>
      <c r="K630" s="6"/>
      <c r="L630" s="6"/>
      <c r="M630" s="6"/>
      <c r="N630" s="7"/>
      <c r="O630" s="8"/>
      <c r="P630" s="8"/>
      <c r="Q630" s="8"/>
      <c r="R630" s="7"/>
      <c r="S630"/>
      <c r="T630"/>
      <c r="U630"/>
      <c r="V630"/>
      <c r="W630"/>
      <c r="X630"/>
      <c r="Y630"/>
      <c r="Z630"/>
      <c r="AA630"/>
      <c r="AB630"/>
    </row>
    <row r="631" spans="1:28" s="19" customFormat="1" ht="12" customHeight="1">
      <c r="A631" s="1"/>
      <c r="B631" s="16"/>
      <c r="C631" s="69" t="s">
        <v>28</v>
      </c>
      <c r="D631" s="53" t="s">
        <v>29</v>
      </c>
      <c r="E631" s="71">
        <v>1180771</v>
      </c>
      <c r="F631" s="71">
        <v>869131</v>
      </c>
      <c r="G631" s="71">
        <v>190996.67</v>
      </c>
      <c r="H631" s="71">
        <f t="shared" si="34"/>
        <v>254662.22666666668</v>
      </c>
      <c r="I631" s="55">
        <v>900000</v>
      </c>
      <c r="J631" s="5"/>
      <c r="K631" s="6"/>
      <c r="L631" s="6"/>
      <c r="M631" s="6"/>
      <c r="N631" s="7"/>
      <c r="O631" s="8"/>
      <c r="P631" s="8"/>
      <c r="Q631" s="8"/>
      <c r="R631" s="7"/>
      <c r="S631"/>
      <c r="T631"/>
      <c r="U631"/>
      <c r="V631"/>
      <c r="W631"/>
      <c r="X631"/>
      <c r="Y631"/>
      <c r="Z631"/>
      <c r="AA631"/>
      <c r="AB631"/>
    </row>
    <row r="632" spans="1:28" s="19" customFormat="1" ht="12" customHeight="1">
      <c r="A632" s="1"/>
      <c r="B632" s="16"/>
      <c r="C632" s="69" t="s">
        <v>30</v>
      </c>
      <c r="D632" s="53" t="s">
        <v>31</v>
      </c>
      <c r="E632" s="71">
        <v>89863</v>
      </c>
      <c r="F632" s="71">
        <v>63650</v>
      </c>
      <c r="G632" s="71">
        <v>18609.84</v>
      </c>
      <c r="H632" s="71">
        <f t="shared" si="34"/>
        <v>24813.120000000003</v>
      </c>
      <c r="I632" s="55">
        <v>250000</v>
      </c>
      <c r="J632" s="5"/>
      <c r="K632" s="6"/>
      <c r="L632" s="6"/>
      <c r="M632" s="6"/>
      <c r="N632" s="7"/>
      <c r="O632" s="8"/>
      <c r="P632" s="8"/>
      <c r="Q632" s="8"/>
      <c r="R632" s="7"/>
      <c r="S632"/>
      <c r="T632"/>
      <c r="U632"/>
      <c r="V632"/>
      <c r="W632"/>
      <c r="X632"/>
      <c r="Y632"/>
      <c r="Z632"/>
      <c r="AA632"/>
      <c r="AB632"/>
    </row>
    <row r="633" spans="1:28" s="19" customFormat="1" ht="14.25" customHeight="1">
      <c r="A633" s="1"/>
      <c r="B633" s="16"/>
      <c r="C633" s="69" t="s">
        <v>32</v>
      </c>
      <c r="D633" s="53" t="s">
        <v>111</v>
      </c>
      <c r="E633" s="71">
        <v>255000</v>
      </c>
      <c r="F633" s="71">
        <v>255000</v>
      </c>
      <c r="G633" s="71">
        <v>54135.99</v>
      </c>
      <c r="H633" s="71">
        <f t="shared" si="34"/>
        <v>72181.319999999992</v>
      </c>
      <c r="I633" s="55">
        <v>239000</v>
      </c>
      <c r="J633" s="5"/>
      <c r="K633" s="6"/>
      <c r="L633" s="6"/>
      <c r="M633" s="6"/>
      <c r="N633" s="7"/>
      <c r="O633" s="8"/>
      <c r="P633" s="8"/>
      <c r="Q633" s="8"/>
      <c r="R633" s="7"/>
      <c r="S633"/>
      <c r="T633"/>
      <c r="U633"/>
      <c r="V633"/>
      <c r="W633"/>
      <c r="X633"/>
      <c r="Y633"/>
      <c r="Z633"/>
      <c r="AA633"/>
      <c r="AB633"/>
    </row>
    <row r="634" spans="1:28" s="19" customFormat="1" ht="20.100000000000001" customHeight="1">
      <c r="A634" s="1"/>
      <c r="B634" s="16"/>
      <c r="C634" s="69">
        <v>2282</v>
      </c>
      <c r="D634" s="53" t="s">
        <v>35</v>
      </c>
      <c r="E634" s="71"/>
      <c r="F634" s="71"/>
      <c r="G634" s="71"/>
      <c r="H634" s="71"/>
      <c r="I634" s="55">
        <v>21000</v>
      </c>
      <c r="J634" s="5"/>
      <c r="K634" s="6"/>
      <c r="L634" s="6"/>
      <c r="M634" s="6"/>
      <c r="N634" s="7"/>
      <c r="O634" s="8"/>
      <c r="P634" s="8"/>
      <c r="Q634" s="8"/>
      <c r="R634" s="7"/>
      <c r="S634"/>
      <c r="T634"/>
      <c r="U634"/>
      <c r="V634"/>
      <c r="W634"/>
      <c r="X634"/>
      <c r="Y634"/>
      <c r="Z634"/>
      <c r="AA634"/>
      <c r="AB634"/>
    </row>
    <row r="635" spans="1:28" s="19" customFormat="1" ht="12.75" hidden="1" customHeight="1">
      <c r="A635" s="1"/>
      <c r="B635" s="16"/>
      <c r="C635" s="87">
        <v>3132</v>
      </c>
      <c r="D635" s="88" t="s">
        <v>188</v>
      </c>
      <c r="E635" s="90"/>
      <c r="F635" s="90"/>
      <c r="G635" s="90"/>
      <c r="H635" s="90"/>
      <c r="I635" s="91">
        <v>0</v>
      </c>
      <c r="J635" s="5"/>
      <c r="K635" s="6"/>
      <c r="L635" s="6"/>
      <c r="M635" s="6"/>
      <c r="N635" s="7"/>
      <c r="O635" s="8" t="s">
        <v>198</v>
      </c>
      <c r="P635" s="8"/>
      <c r="Q635" s="8"/>
      <c r="R635" s="7"/>
      <c r="S635"/>
      <c r="T635"/>
      <c r="U635"/>
      <c r="V635"/>
      <c r="W635"/>
      <c r="X635"/>
      <c r="Y635"/>
      <c r="Z635"/>
      <c r="AA635"/>
      <c r="AB635"/>
    </row>
    <row r="636" spans="1:28" s="19" customFormat="1" ht="22.5" customHeight="1">
      <c r="A636" s="1"/>
      <c r="B636" s="16"/>
      <c r="C636" s="65" t="s">
        <v>199</v>
      </c>
      <c r="D636" s="66" t="s">
        <v>200</v>
      </c>
      <c r="E636" s="67">
        <v>2654336</v>
      </c>
      <c r="F636" s="67">
        <v>2329536</v>
      </c>
      <c r="G636" s="67">
        <v>1180748.0999999999</v>
      </c>
      <c r="H636" s="67">
        <f t="shared" si="34"/>
        <v>1574330.7999999998</v>
      </c>
      <c r="I636" s="68">
        <f>I637+I638+I639</f>
        <v>866300</v>
      </c>
      <c r="J636" s="5"/>
      <c r="K636" s="6"/>
      <c r="L636" s="6"/>
      <c r="M636" s="6"/>
      <c r="N636" s="7"/>
      <c r="O636" s="8"/>
      <c r="P636" s="8"/>
      <c r="Q636" s="8"/>
      <c r="R636" s="7"/>
      <c r="S636"/>
      <c r="T636"/>
      <c r="U636"/>
      <c r="V636"/>
      <c r="W636"/>
      <c r="X636"/>
      <c r="Y636"/>
      <c r="Z636"/>
      <c r="AA636"/>
      <c r="AB636"/>
    </row>
    <row r="637" spans="1:28" s="19" customFormat="1" ht="12" hidden="1" customHeight="1">
      <c r="A637" s="1"/>
      <c r="B637" s="16"/>
      <c r="C637" s="69" t="s">
        <v>14</v>
      </c>
      <c r="D637" s="53" t="s">
        <v>15</v>
      </c>
      <c r="E637" s="71">
        <v>1191562</v>
      </c>
      <c r="F637" s="71">
        <v>986742</v>
      </c>
      <c r="G637" s="71">
        <v>755761.46</v>
      </c>
      <c r="H637" s="71">
        <f t="shared" si="34"/>
        <v>1007681.9466666665</v>
      </c>
      <c r="I637" s="55">
        <v>0</v>
      </c>
      <c r="J637" s="5">
        <f>E637/12</f>
        <v>99296.833333333328</v>
      </c>
      <c r="K637" s="6">
        <f>J637*1.031</f>
        <v>102375.03516666665</v>
      </c>
      <c r="L637" s="6">
        <f>(J637*9)+(K637*3)</f>
        <v>1200796.6055000001</v>
      </c>
      <c r="M637" s="6">
        <f>I637-L637</f>
        <v>-1200796.6055000001</v>
      </c>
      <c r="N637" s="7">
        <f>L637*1.084</f>
        <v>1301663.5203620002</v>
      </c>
      <c r="O637" s="8"/>
      <c r="P637" s="8"/>
      <c r="Q637" s="8"/>
      <c r="R637" s="7"/>
      <c r="S637"/>
      <c r="T637"/>
      <c r="U637"/>
      <c r="V637"/>
      <c r="W637"/>
      <c r="X637"/>
      <c r="Y637"/>
      <c r="Z637"/>
      <c r="AA637"/>
      <c r="AB637"/>
    </row>
    <row r="638" spans="1:28" s="19" customFormat="1" ht="12" hidden="1" customHeight="1">
      <c r="A638" s="1"/>
      <c r="B638" s="16"/>
      <c r="C638" s="69" t="s">
        <v>16</v>
      </c>
      <c r="D638" s="53" t="s">
        <v>17</v>
      </c>
      <c r="E638" s="71">
        <v>262354</v>
      </c>
      <c r="F638" s="71">
        <v>217584</v>
      </c>
      <c r="G638" s="71">
        <v>166484.35</v>
      </c>
      <c r="H638" s="71">
        <f t="shared" si="34"/>
        <v>221979.13333333333</v>
      </c>
      <c r="I638" s="55">
        <v>0</v>
      </c>
      <c r="J638" s="5">
        <f>E638/12</f>
        <v>21862.833333333332</v>
      </c>
      <c r="K638" s="6">
        <f>J638*1.031</f>
        <v>22540.581166666663</v>
      </c>
      <c r="L638" s="6">
        <f>(J638*9)+(K638*3)</f>
        <v>264387.24349999998</v>
      </c>
      <c r="M638" s="6">
        <f>I638-L638</f>
        <v>-264387.24349999998</v>
      </c>
      <c r="N638" s="7">
        <f>L638*1.084</f>
        <v>286595.771954</v>
      </c>
      <c r="O638" s="8"/>
      <c r="P638" s="8"/>
      <c r="Q638" s="8"/>
      <c r="R638" s="7"/>
      <c r="S638"/>
      <c r="T638"/>
      <c r="U638"/>
      <c r="V638"/>
      <c r="W638"/>
      <c r="X638"/>
      <c r="Y638"/>
      <c r="Z638"/>
      <c r="AA638"/>
      <c r="AB638"/>
    </row>
    <row r="639" spans="1:28" s="19" customFormat="1" ht="13.5" customHeight="1">
      <c r="A639" s="1"/>
      <c r="B639" s="16"/>
      <c r="C639" s="69" t="s">
        <v>44</v>
      </c>
      <c r="D639" s="70" t="s">
        <v>201</v>
      </c>
      <c r="E639" s="71">
        <v>1200420</v>
      </c>
      <c r="F639" s="71">
        <v>1125210</v>
      </c>
      <c r="G639" s="71">
        <v>258502.29</v>
      </c>
      <c r="H639" s="71">
        <f t="shared" si="34"/>
        <v>344669.72000000003</v>
      </c>
      <c r="I639" s="55">
        <v>866300</v>
      </c>
      <c r="J639" s="5"/>
      <c r="K639" s="6"/>
      <c r="L639" s="6"/>
      <c r="M639" s="6"/>
      <c r="N639" s="7"/>
      <c r="O639" s="8"/>
      <c r="P639" s="8"/>
      <c r="Q639" s="8"/>
      <c r="R639" s="7"/>
      <c r="S639"/>
      <c r="T639"/>
      <c r="U639"/>
      <c r="V639"/>
      <c r="W639"/>
      <c r="X639"/>
      <c r="Y639"/>
      <c r="Z639"/>
      <c r="AA639"/>
      <c r="AB639"/>
    </row>
    <row r="640" spans="1:28" s="19" customFormat="1" ht="15.75" customHeight="1">
      <c r="A640" s="1"/>
      <c r="B640" s="16"/>
      <c r="C640" s="65" t="s">
        <v>202</v>
      </c>
      <c r="D640" s="66" t="s">
        <v>203</v>
      </c>
      <c r="E640" s="67">
        <v>1620000</v>
      </c>
      <c r="F640" s="67">
        <v>1400000</v>
      </c>
      <c r="G640" s="67">
        <v>1032960</v>
      </c>
      <c r="H640" s="67">
        <f t="shared" si="34"/>
        <v>1377280</v>
      </c>
      <c r="I640" s="68">
        <f>I641</f>
        <v>500000</v>
      </c>
      <c r="J640" s="5"/>
      <c r="K640" s="6"/>
      <c r="L640" s="6"/>
      <c r="M640" s="6"/>
      <c r="N640" s="7"/>
      <c r="O640" s="8"/>
      <c r="P640" s="8"/>
      <c r="Q640" s="8"/>
      <c r="R640" s="7"/>
      <c r="S640"/>
      <c r="T640"/>
      <c r="U640"/>
      <c r="V640"/>
      <c r="W640"/>
      <c r="X640"/>
      <c r="Y640"/>
      <c r="Z640"/>
      <c r="AA640"/>
      <c r="AB640"/>
    </row>
    <row r="641" spans="1:14" ht="18" customHeight="1">
      <c r="A641" s="1"/>
      <c r="B641" s="16"/>
      <c r="C641" s="69" t="s">
        <v>34</v>
      </c>
      <c r="D641" s="70" t="s">
        <v>204</v>
      </c>
      <c r="E641" s="71">
        <v>1530000</v>
      </c>
      <c r="F641" s="71">
        <v>1310000</v>
      </c>
      <c r="G641" s="71">
        <v>974705</v>
      </c>
      <c r="H641" s="71">
        <f t="shared" si="34"/>
        <v>1299606.6666666667</v>
      </c>
      <c r="I641" s="55">
        <v>500000</v>
      </c>
      <c r="J641" s="5"/>
    </row>
    <row r="642" spans="1:14" ht="27" customHeight="1">
      <c r="A642" s="1"/>
      <c r="B642" s="16"/>
      <c r="C642" s="65" t="s">
        <v>205</v>
      </c>
      <c r="D642" s="66" t="s">
        <v>206</v>
      </c>
      <c r="E642" s="67">
        <v>5000000</v>
      </c>
      <c r="F642" s="67">
        <v>3893488</v>
      </c>
      <c r="G642" s="67">
        <v>2948291.1</v>
      </c>
      <c r="H642" s="67">
        <f t="shared" si="34"/>
        <v>3931054.8000000003</v>
      </c>
      <c r="I642" s="68">
        <f>I643+I644+I645+I646+I647+I648</f>
        <v>5000000</v>
      </c>
      <c r="J642" s="5"/>
    </row>
    <row r="643" spans="1:14" ht="12" customHeight="1">
      <c r="A643" s="1"/>
      <c r="B643" s="16"/>
      <c r="C643" s="69" t="s">
        <v>14</v>
      </c>
      <c r="D643" s="53" t="s">
        <v>15</v>
      </c>
      <c r="E643" s="71">
        <v>3883426</v>
      </c>
      <c r="F643" s="71">
        <v>3001081</v>
      </c>
      <c r="G643" s="71">
        <v>2382109.2999999998</v>
      </c>
      <c r="H643" s="71">
        <f t="shared" si="34"/>
        <v>3176145.7333333329</v>
      </c>
      <c r="I643" s="55">
        <v>3661655</v>
      </c>
      <c r="J643" s="5">
        <f>E643/12</f>
        <v>323618.83333333331</v>
      </c>
      <c r="K643" s="6">
        <f>J643*1.031</f>
        <v>333651.01716666663</v>
      </c>
      <c r="L643" s="6">
        <f>(J643*9)+(K643*3)</f>
        <v>3913522.5515000001</v>
      </c>
      <c r="M643" s="6">
        <f>I643-L643</f>
        <v>-251867.55150000006</v>
      </c>
      <c r="N643" s="7">
        <f>L643*1.084</f>
        <v>4242258.4458260005</v>
      </c>
    </row>
    <row r="644" spans="1:14" ht="12" customHeight="1">
      <c r="A644" s="1"/>
      <c r="B644" s="16"/>
      <c r="C644" s="69" t="s">
        <v>16</v>
      </c>
      <c r="D644" s="53" t="s">
        <v>17</v>
      </c>
      <c r="E644" s="71">
        <v>815409</v>
      </c>
      <c r="F644" s="71">
        <v>630242</v>
      </c>
      <c r="G644" s="71">
        <v>518520.5</v>
      </c>
      <c r="H644" s="71">
        <f t="shared" si="34"/>
        <v>691360.66666666674</v>
      </c>
      <c r="I644" s="55">
        <v>773345</v>
      </c>
      <c r="J644" s="5">
        <f>E644/12</f>
        <v>67950.75</v>
      </c>
      <c r="K644" s="6">
        <f>J644*1.031</f>
        <v>70057.223249999995</v>
      </c>
      <c r="L644" s="6">
        <f>(J644*9)+(K644*3)</f>
        <v>821728.41975</v>
      </c>
      <c r="M644" s="6">
        <f>I644-L644</f>
        <v>-48383.419750000001</v>
      </c>
      <c r="N644" s="7">
        <f>L644*1.084</f>
        <v>890753.60700900003</v>
      </c>
    </row>
    <row r="645" spans="1:14" ht="12.75" customHeight="1">
      <c r="A645" s="1"/>
      <c r="B645" s="16"/>
      <c r="C645" s="69" t="s">
        <v>18</v>
      </c>
      <c r="D645" s="53" t="s">
        <v>19</v>
      </c>
      <c r="E645" s="71">
        <v>113165</v>
      </c>
      <c r="F645" s="71">
        <v>113165</v>
      </c>
      <c r="G645" s="71">
        <v>13915</v>
      </c>
      <c r="H645" s="71">
        <f t="shared" si="34"/>
        <v>18553.333333333332</v>
      </c>
      <c r="I645" s="55">
        <v>100000</v>
      </c>
      <c r="J645" s="5"/>
    </row>
    <row r="646" spans="1:14" ht="12" customHeight="1">
      <c r="A646" s="1"/>
      <c r="B646" s="16"/>
      <c r="C646" s="69" t="s">
        <v>20</v>
      </c>
      <c r="D646" s="53" t="s">
        <v>21</v>
      </c>
      <c r="E646" s="71">
        <v>133000</v>
      </c>
      <c r="F646" s="71">
        <v>125500</v>
      </c>
      <c r="G646" s="71">
        <v>13301.2</v>
      </c>
      <c r="H646" s="71">
        <f t="shared" si="34"/>
        <v>17734.933333333334</v>
      </c>
      <c r="I646" s="55">
        <v>100000</v>
      </c>
      <c r="J646" s="5"/>
    </row>
    <row r="647" spans="1:14" ht="12" customHeight="1">
      <c r="A647" s="1"/>
      <c r="B647" s="16"/>
      <c r="C647" s="69" t="s">
        <v>24</v>
      </c>
      <c r="D647" s="53" t="s">
        <v>109</v>
      </c>
      <c r="E647" s="71">
        <v>50000</v>
      </c>
      <c r="F647" s="71">
        <v>20000</v>
      </c>
      <c r="G647" s="71">
        <v>20000</v>
      </c>
      <c r="H647" s="71">
        <f t="shared" si="34"/>
        <v>26666.666666666664</v>
      </c>
      <c r="I647" s="55">
        <v>360000</v>
      </c>
      <c r="J647" s="5"/>
    </row>
    <row r="648" spans="1:14" ht="14.25" customHeight="1">
      <c r="A648" s="1"/>
      <c r="B648" s="16"/>
      <c r="C648" s="69" t="s">
        <v>26</v>
      </c>
      <c r="D648" s="53" t="s">
        <v>110</v>
      </c>
      <c r="E648" s="71">
        <v>5000</v>
      </c>
      <c r="F648" s="71">
        <v>3500</v>
      </c>
      <c r="G648" s="71">
        <v>445.1</v>
      </c>
      <c r="H648" s="71">
        <f t="shared" si="34"/>
        <v>593.4666666666667</v>
      </c>
      <c r="I648" s="55">
        <v>5000</v>
      </c>
      <c r="J648" s="5"/>
    </row>
    <row r="649" spans="1:14" ht="22.5" customHeight="1">
      <c r="A649" s="1"/>
      <c r="B649" s="16"/>
      <c r="C649" s="65" t="s">
        <v>207</v>
      </c>
      <c r="D649" s="66" t="s">
        <v>208</v>
      </c>
      <c r="E649" s="67">
        <v>341660</v>
      </c>
      <c r="F649" s="67">
        <v>280100</v>
      </c>
      <c r="G649" s="67">
        <v>15500</v>
      </c>
      <c r="H649" s="67">
        <f t="shared" si="34"/>
        <v>20666.666666666664</v>
      </c>
      <c r="I649" s="68">
        <f>I650+I651</f>
        <v>342600</v>
      </c>
      <c r="J649" s="5"/>
    </row>
    <row r="650" spans="1:14" ht="13.5" customHeight="1">
      <c r="A650" s="1"/>
      <c r="B650" s="16"/>
      <c r="C650" s="69" t="s">
        <v>34</v>
      </c>
      <c r="D650" s="70" t="s">
        <v>209</v>
      </c>
      <c r="E650" s="71">
        <v>341660</v>
      </c>
      <c r="F650" s="71">
        <v>280100</v>
      </c>
      <c r="G650" s="71">
        <v>15500</v>
      </c>
      <c r="H650" s="71">
        <f t="shared" si="34"/>
        <v>20666.666666666664</v>
      </c>
      <c r="I650" s="55">
        <v>211600</v>
      </c>
      <c r="J650" s="5"/>
    </row>
    <row r="651" spans="1:14" ht="15.75" customHeight="1">
      <c r="A651" s="1"/>
      <c r="B651" s="16"/>
      <c r="C651" s="69" t="s">
        <v>34</v>
      </c>
      <c r="D651" s="70" t="s">
        <v>210</v>
      </c>
      <c r="E651" s="71">
        <v>341660</v>
      </c>
      <c r="F651" s="71">
        <v>280100</v>
      </c>
      <c r="G651" s="71">
        <v>15500</v>
      </c>
      <c r="H651" s="71">
        <f>(G651/9)*12</f>
        <v>20666.666666666664</v>
      </c>
      <c r="I651" s="55">
        <v>131000</v>
      </c>
      <c r="J651" s="5"/>
    </row>
    <row r="652" spans="1:14" ht="21.75" customHeight="1">
      <c r="A652" s="1"/>
      <c r="B652" s="16"/>
      <c r="C652" s="65" t="s">
        <v>211</v>
      </c>
      <c r="D652" s="72" t="s">
        <v>212</v>
      </c>
      <c r="E652" s="67">
        <v>4500170</v>
      </c>
      <c r="F652" s="67">
        <v>3749000</v>
      </c>
      <c r="G652" s="67">
        <v>2992351.91</v>
      </c>
      <c r="H652" s="67">
        <f t="shared" si="34"/>
        <v>3989802.5466666669</v>
      </c>
      <c r="I652" s="68">
        <f>I653</f>
        <v>5000000</v>
      </c>
      <c r="J652" s="5"/>
    </row>
    <row r="653" spans="1:14" ht="24.75" customHeight="1">
      <c r="A653" s="1"/>
      <c r="B653" s="16"/>
      <c r="C653" s="69" t="s">
        <v>44</v>
      </c>
      <c r="D653" s="53" t="s">
        <v>60</v>
      </c>
      <c r="E653" s="71">
        <v>4500170</v>
      </c>
      <c r="F653" s="71">
        <v>3749000</v>
      </c>
      <c r="G653" s="71">
        <v>2992351.91</v>
      </c>
      <c r="H653" s="71">
        <f t="shared" si="34"/>
        <v>3989802.5466666669</v>
      </c>
      <c r="I653" s="55">
        <v>5000000</v>
      </c>
      <c r="J653" s="5"/>
    </row>
    <row r="654" spans="1:14" ht="24.75" customHeight="1">
      <c r="A654" s="1"/>
      <c r="B654" s="16"/>
      <c r="C654" s="65" t="s">
        <v>213</v>
      </c>
      <c r="D654" s="66" t="s">
        <v>214</v>
      </c>
      <c r="E654" s="67">
        <v>2000406</v>
      </c>
      <c r="F654" s="67">
        <v>1602066</v>
      </c>
      <c r="G654" s="67">
        <v>1072118</v>
      </c>
      <c r="H654" s="67">
        <f t="shared" si="34"/>
        <v>1429490.6666666665</v>
      </c>
      <c r="I654" s="68">
        <f>I655</f>
        <v>4624025</v>
      </c>
      <c r="J654" s="5"/>
    </row>
    <row r="655" spans="1:14" ht="20.25" customHeight="1">
      <c r="A655" s="1"/>
      <c r="B655" s="16"/>
      <c r="C655" s="65" t="s">
        <v>215</v>
      </c>
      <c r="D655" s="66" t="s">
        <v>13</v>
      </c>
      <c r="E655" s="67">
        <v>2000406</v>
      </c>
      <c r="F655" s="67">
        <v>1602066</v>
      </c>
      <c r="G655" s="67">
        <v>1072118</v>
      </c>
      <c r="H655" s="67">
        <f t="shared" si="34"/>
        <v>1429490.6666666665</v>
      </c>
      <c r="I655" s="68">
        <f>I656+I657+I658+I659</f>
        <v>4624025</v>
      </c>
      <c r="J655" s="5"/>
    </row>
    <row r="656" spans="1:14" ht="12" customHeight="1">
      <c r="A656" s="1"/>
      <c r="B656" s="16"/>
      <c r="C656" s="69" t="s">
        <v>14</v>
      </c>
      <c r="D656" s="53" t="s">
        <v>15</v>
      </c>
      <c r="E656" s="71">
        <v>1541580</v>
      </c>
      <c r="F656" s="71">
        <v>1214550</v>
      </c>
      <c r="G656" s="71">
        <v>817473.67</v>
      </c>
      <c r="H656" s="71">
        <f t="shared" si="34"/>
        <v>1089964.8933333335</v>
      </c>
      <c r="I656" s="55">
        <v>3626250</v>
      </c>
      <c r="J656" s="5"/>
    </row>
    <row r="657" spans="1:28" ht="12" customHeight="1">
      <c r="A657" s="1"/>
      <c r="B657" s="16"/>
      <c r="C657" s="69" t="s">
        <v>16</v>
      </c>
      <c r="D657" s="53" t="s">
        <v>17</v>
      </c>
      <c r="E657" s="71">
        <v>337026</v>
      </c>
      <c r="F657" s="71">
        <v>265716</v>
      </c>
      <c r="G657" s="71">
        <v>179844.22</v>
      </c>
      <c r="H657" s="71">
        <f t="shared" si="34"/>
        <v>239792.29333333333</v>
      </c>
      <c r="I657" s="55">
        <v>797775</v>
      </c>
      <c r="J657" s="5"/>
    </row>
    <row r="658" spans="1:28" ht="14.25" customHeight="1">
      <c r="A658" s="1"/>
      <c r="B658" s="16"/>
      <c r="C658" s="69" t="s">
        <v>18</v>
      </c>
      <c r="D658" s="53" t="s">
        <v>19</v>
      </c>
      <c r="E658" s="71">
        <v>71800</v>
      </c>
      <c r="F658" s="71">
        <v>71800</v>
      </c>
      <c r="G658" s="71">
        <v>35720.11</v>
      </c>
      <c r="H658" s="71">
        <f t="shared" si="34"/>
        <v>47626.813333333339</v>
      </c>
      <c r="I658" s="55">
        <v>100000</v>
      </c>
      <c r="J658" s="5"/>
    </row>
    <row r="659" spans="1:28" ht="12" customHeight="1">
      <c r="A659" s="1"/>
      <c r="B659" s="16"/>
      <c r="C659" s="69" t="s">
        <v>20</v>
      </c>
      <c r="D659" s="53" t="s">
        <v>21</v>
      </c>
      <c r="E659" s="71">
        <v>50000</v>
      </c>
      <c r="F659" s="71">
        <v>50000</v>
      </c>
      <c r="G659" s="71">
        <v>39080</v>
      </c>
      <c r="H659" s="71">
        <f t="shared" si="34"/>
        <v>52106.666666666672</v>
      </c>
      <c r="I659" s="55">
        <v>100000</v>
      </c>
      <c r="J659" s="5"/>
    </row>
    <row r="660" spans="1:28" ht="15.75" customHeight="1">
      <c r="A660" s="1"/>
      <c r="B660" s="16"/>
      <c r="C660" s="65" t="s">
        <v>216</v>
      </c>
      <c r="D660" s="66" t="s">
        <v>217</v>
      </c>
      <c r="E660" s="67">
        <v>80688696</v>
      </c>
      <c r="F660" s="67">
        <v>61371057</v>
      </c>
      <c r="G660" s="67">
        <v>60829016.640000001</v>
      </c>
      <c r="H660" s="67">
        <f>H661+H666+H669+H671</f>
        <v>83105355.519999996</v>
      </c>
      <c r="I660" s="108">
        <f>I661+I666+I669+I671</f>
        <v>77662068</v>
      </c>
      <c r="J660" s="5"/>
      <c r="S660" s="28"/>
    </row>
    <row r="661" spans="1:28" ht="21.75" customHeight="1">
      <c r="A661" s="1"/>
      <c r="B661" s="16"/>
      <c r="C661" s="65" t="s">
        <v>218</v>
      </c>
      <c r="D661" s="66" t="s">
        <v>13</v>
      </c>
      <c r="E661" s="67">
        <v>3285000</v>
      </c>
      <c r="F661" s="67">
        <v>2634761</v>
      </c>
      <c r="G661" s="67">
        <v>2219066.64</v>
      </c>
      <c r="H661" s="67">
        <f t="shared" si="34"/>
        <v>2958755.5200000005</v>
      </c>
      <c r="I661" s="108">
        <f>I662+I663+I664+I665</f>
        <v>4847000</v>
      </c>
      <c r="J661" s="5"/>
    </row>
    <row r="662" spans="1:28" s="6" customFormat="1" ht="12" customHeight="1">
      <c r="A662" s="1"/>
      <c r="B662" s="16"/>
      <c r="C662" s="69" t="s">
        <v>14</v>
      </c>
      <c r="D662" s="53" t="s">
        <v>15</v>
      </c>
      <c r="E662" s="71">
        <v>2454911</v>
      </c>
      <c r="F662" s="71">
        <v>1924911</v>
      </c>
      <c r="G662" s="71">
        <v>1708599.13</v>
      </c>
      <c r="H662" s="71">
        <f t="shared" si="34"/>
        <v>2278132.1733333329</v>
      </c>
      <c r="I662" s="109">
        <v>3751700</v>
      </c>
      <c r="J662" s="5"/>
      <c r="N662" s="7"/>
      <c r="O662" s="8"/>
      <c r="P662" s="8"/>
      <c r="Q662" s="8"/>
      <c r="R662" s="7"/>
      <c r="S662"/>
      <c r="T662"/>
      <c r="U662"/>
      <c r="V662"/>
      <c r="W662"/>
      <c r="X662"/>
      <c r="Y662"/>
      <c r="Z662"/>
      <c r="AA662"/>
      <c r="AB662"/>
    </row>
    <row r="663" spans="1:28" s="6" customFormat="1" ht="12" customHeight="1">
      <c r="A663" s="1"/>
      <c r="B663" s="16"/>
      <c r="C663" s="69" t="s">
        <v>16</v>
      </c>
      <c r="D663" s="53" t="s">
        <v>17</v>
      </c>
      <c r="E663" s="71">
        <v>540089</v>
      </c>
      <c r="F663" s="71">
        <v>419850</v>
      </c>
      <c r="G663" s="71">
        <v>375891.81</v>
      </c>
      <c r="H663" s="71">
        <f t="shared" si="34"/>
        <v>501189.08</v>
      </c>
      <c r="I663" s="109">
        <v>845300</v>
      </c>
      <c r="J663" s="5"/>
      <c r="N663" s="7"/>
      <c r="O663" s="8"/>
      <c r="P663" s="8"/>
      <c r="Q663" s="8"/>
      <c r="R663" s="7"/>
      <c r="S663"/>
      <c r="T663"/>
      <c r="U663"/>
      <c r="V663"/>
      <c r="W663"/>
      <c r="X663"/>
      <c r="Y663"/>
      <c r="Z663"/>
      <c r="AA663"/>
      <c r="AB663"/>
    </row>
    <row r="664" spans="1:28" s="6" customFormat="1" ht="12.75" customHeight="1">
      <c r="A664" s="1"/>
      <c r="B664" s="16"/>
      <c r="C664" s="69" t="s">
        <v>18</v>
      </c>
      <c r="D664" s="53" t="s">
        <v>19</v>
      </c>
      <c r="E664" s="71">
        <v>170000</v>
      </c>
      <c r="F664" s="71">
        <v>170000</v>
      </c>
      <c r="G664" s="71">
        <v>118017.7</v>
      </c>
      <c r="H664" s="71">
        <f t="shared" si="34"/>
        <v>157356.93333333332</v>
      </c>
      <c r="I664" s="109">
        <v>150000</v>
      </c>
      <c r="J664" s="5"/>
      <c r="N664" s="7"/>
      <c r="O664" s="8"/>
      <c r="P664" s="8"/>
      <c r="Q664" s="8"/>
      <c r="R664" s="7"/>
      <c r="S664"/>
      <c r="T664"/>
      <c r="U664"/>
      <c r="V664"/>
      <c r="W664"/>
      <c r="X664"/>
      <c r="Y664"/>
      <c r="Z664"/>
      <c r="AA664"/>
      <c r="AB664"/>
    </row>
    <row r="665" spans="1:28" s="6" customFormat="1" ht="12" customHeight="1">
      <c r="A665" s="1"/>
      <c r="B665" s="16"/>
      <c r="C665" s="69" t="s">
        <v>20</v>
      </c>
      <c r="D665" s="53" t="s">
        <v>21</v>
      </c>
      <c r="E665" s="71">
        <v>120000</v>
      </c>
      <c r="F665" s="71">
        <v>120000</v>
      </c>
      <c r="G665" s="71">
        <v>16558</v>
      </c>
      <c r="H665" s="71">
        <f t="shared" si="34"/>
        <v>22077.333333333336</v>
      </c>
      <c r="I665" s="109">
        <v>100000</v>
      </c>
      <c r="J665" s="5"/>
      <c r="N665" s="7"/>
      <c r="O665" s="8"/>
      <c r="P665" s="8"/>
      <c r="Q665" s="8"/>
      <c r="R665" s="7"/>
      <c r="S665"/>
      <c r="T665"/>
      <c r="U665"/>
      <c r="V665"/>
      <c r="W665"/>
      <c r="X665"/>
      <c r="Y665"/>
      <c r="Z665"/>
      <c r="AA665"/>
      <c r="AB665"/>
    </row>
    <row r="666" spans="1:28" s="6" customFormat="1" ht="12.75" customHeight="1">
      <c r="A666" s="1"/>
      <c r="B666" s="16"/>
      <c r="C666" s="65" t="s">
        <v>219</v>
      </c>
      <c r="D666" s="66" t="s">
        <v>220</v>
      </c>
      <c r="E666" s="67">
        <v>76678</v>
      </c>
      <c r="F666" s="67">
        <v>76678</v>
      </c>
      <c r="G666" s="67">
        <v>0</v>
      </c>
      <c r="H666" s="67">
        <v>2000000</v>
      </c>
      <c r="I666" s="108">
        <f>I667</f>
        <v>1000000</v>
      </c>
      <c r="J666" s="5"/>
      <c r="N666" s="7"/>
      <c r="O666" s="8"/>
      <c r="P666" s="8"/>
      <c r="Q666" s="8"/>
      <c r="R666" s="7"/>
      <c r="S666"/>
      <c r="T666"/>
      <c r="U666"/>
      <c r="V666"/>
      <c r="W666"/>
      <c r="X666"/>
      <c r="Y666"/>
      <c r="Z666"/>
      <c r="AA666"/>
      <c r="AB666"/>
    </row>
    <row r="667" spans="1:28" s="6" customFormat="1" ht="12" customHeight="1">
      <c r="A667" s="1"/>
      <c r="B667" s="16"/>
      <c r="C667" s="65" t="s">
        <v>221</v>
      </c>
      <c r="D667" s="66" t="s">
        <v>222</v>
      </c>
      <c r="E667" s="67">
        <v>76678</v>
      </c>
      <c r="F667" s="67">
        <v>76678</v>
      </c>
      <c r="G667" s="67">
        <v>0</v>
      </c>
      <c r="H667" s="67">
        <v>2000000</v>
      </c>
      <c r="I667" s="108">
        <f>I668</f>
        <v>1000000</v>
      </c>
      <c r="J667" s="5"/>
      <c r="N667" s="7"/>
      <c r="O667" s="8"/>
      <c r="P667" s="8"/>
      <c r="Q667" s="8"/>
      <c r="R667" s="7"/>
      <c r="S667"/>
      <c r="T667"/>
      <c r="U667"/>
      <c r="V667"/>
      <c r="W667"/>
      <c r="X667"/>
      <c r="Y667"/>
      <c r="Z667"/>
      <c r="AA667"/>
      <c r="AB667"/>
    </row>
    <row r="668" spans="1:28" s="6" customFormat="1" ht="14.25" customHeight="1">
      <c r="A668" s="1"/>
      <c r="B668" s="16"/>
      <c r="C668" s="69" t="s">
        <v>223</v>
      </c>
      <c r="D668" s="53" t="s">
        <v>224</v>
      </c>
      <c r="E668" s="71">
        <v>76678</v>
      </c>
      <c r="F668" s="71">
        <v>76678</v>
      </c>
      <c r="G668" s="71">
        <v>0</v>
      </c>
      <c r="H668" s="71">
        <v>2000000</v>
      </c>
      <c r="I668" s="109">
        <v>1000000</v>
      </c>
      <c r="J668" s="5"/>
      <c r="N668" s="7"/>
      <c r="O668" s="8"/>
      <c r="P668" s="8"/>
      <c r="Q668" s="8"/>
      <c r="R668" s="7"/>
      <c r="S668"/>
      <c r="T668"/>
      <c r="U668"/>
      <c r="V668"/>
      <c r="W668"/>
      <c r="X668"/>
      <c r="Y668"/>
      <c r="Z668"/>
      <c r="AA668"/>
      <c r="AB668"/>
    </row>
    <row r="669" spans="1:28" s="6" customFormat="1" ht="13.5" customHeight="1">
      <c r="A669" s="1"/>
      <c r="B669" s="16"/>
      <c r="C669" s="65" t="s">
        <v>225</v>
      </c>
      <c r="D669" s="66" t="s">
        <v>226</v>
      </c>
      <c r="E669" s="67">
        <v>74497000</v>
      </c>
      <c r="F669" s="67">
        <v>55872900</v>
      </c>
      <c r="G669" s="67">
        <v>55872900</v>
      </c>
      <c r="H669" s="67">
        <f>(G669/9)*12</f>
        <v>74497200</v>
      </c>
      <c r="I669" s="108">
        <f>I670</f>
        <v>71637300</v>
      </c>
      <c r="J669" s="5"/>
      <c r="N669" s="7"/>
      <c r="O669" s="8"/>
      <c r="P669" s="8"/>
      <c r="Q669" s="8"/>
      <c r="R669" s="7"/>
      <c r="S669"/>
      <c r="T669"/>
      <c r="U669"/>
      <c r="V669"/>
      <c r="W669"/>
      <c r="X669"/>
      <c r="Y669"/>
      <c r="Z669"/>
      <c r="AA669"/>
      <c r="AB669"/>
    </row>
    <row r="670" spans="1:28" s="6" customFormat="1" ht="17.25" customHeight="1">
      <c r="A670" s="1"/>
      <c r="B670" s="16"/>
      <c r="C670" s="69" t="s">
        <v>227</v>
      </c>
      <c r="D670" s="53" t="s">
        <v>228</v>
      </c>
      <c r="E670" s="71">
        <v>74497000</v>
      </c>
      <c r="F670" s="71">
        <v>55872900</v>
      </c>
      <c r="G670" s="71">
        <v>55872900</v>
      </c>
      <c r="H670" s="71">
        <f>(G670/9)*12</f>
        <v>74497200</v>
      </c>
      <c r="I670" s="109">
        <f>74273200-2635900</f>
        <v>71637300</v>
      </c>
      <c r="J670" s="5"/>
      <c r="N670" s="7"/>
      <c r="O670" s="8"/>
      <c r="P670" s="8"/>
      <c r="Q670" s="8"/>
      <c r="R670" s="7"/>
      <c r="S670"/>
      <c r="T670"/>
      <c r="U670"/>
      <c r="V670"/>
      <c r="W670"/>
      <c r="X670"/>
      <c r="Y670"/>
      <c r="Z670"/>
      <c r="AA670"/>
      <c r="AB670"/>
    </row>
    <row r="671" spans="1:28" s="6" customFormat="1" ht="12" customHeight="1">
      <c r="A671" s="1"/>
      <c r="B671" s="16"/>
      <c r="C671" s="65" t="s">
        <v>229</v>
      </c>
      <c r="D671" s="66" t="s">
        <v>230</v>
      </c>
      <c r="E671" s="67">
        <v>2830018</v>
      </c>
      <c r="F671" s="67">
        <v>2786718</v>
      </c>
      <c r="G671" s="67">
        <v>2737050</v>
      </c>
      <c r="H671" s="67">
        <f>(G671/9)*12</f>
        <v>3649400</v>
      </c>
      <c r="I671" s="108">
        <f>I672</f>
        <v>177768</v>
      </c>
      <c r="J671" s="5"/>
      <c r="N671" s="7"/>
      <c r="O671" s="8"/>
      <c r="P671" s="8"/>
      <c r="Q671" s="8"/>
      <c r="R671" s="7"/>
      <c r="S671"/>
      <c r="T671"/>
      <c r="U671"/>
      <c r="V671"/>
      <c r="W671"/>
      <c r="X671"/>
      <c r="Y671"/>
      <c r="Z671"/>
      <c r="AA671"/>
      <c r="AB671"/>
    </row>
    <row r="672" spans="1:28" s="6" customFormat="1" ht="18.75" customHeight="1">
      <c r="A672" s="1"/>
      <c r="B672" s="16"/>
      <c r="C672" s="69" t="s">
        <v>227</v>
      </c>
      <c r="D672" s="53" t="s">
        <v>228</v>
      </c>
      <c r="E672" s="71">
        <v>2830018</v>
      </c>
      <c r="F672" s="71">
        <v>2786718</v>
      </c>
      <c r="G672" s="71">
        <v>2737050</v>
      </c>
      <c r="H672" s="71">
        <f>(G672/9)*12</f>
        <v>3649400</v>
      </c>
      <c r="I672" s="109">
        <v>177768</v>
      </c>
      <c r="J672" s="5"/>
      <c r="N672" s="7"/>
      <c r="O672" s="8"/>
      <c r="P672" s="8"/>
      <c r="Q672" s="8"/>
      <c r="R672" s="7"/>
      <c r="S672"/>
      <c r="T672"/>
      <c r="U672"/>
      <c r="V672"/>
      <c r="W672"/>
      <c r="X672"/>
      <c r="Y672"/>
      <c r="Z672"/>
      <c r="AA672"/>
      <c r="AB672"/>
    </row>
    <row r="673" spans="1:28" s="6" customFormat="1" ht="18.75" customHeight="1" thickBot="1">
      <c r="A673" s="1"/>
      <c r="B673" s="1"/>
      <c r="C673" s="143" t="s">
        <v>231</v>
      </c>
      <c r="D673" s="144"/>
      <c r="E673" s="127">
        <v>703138270.21000004</v>
      </c>
      <c r="F673" s="127">
        <v>562122476.21000004</v>
      </c>
      <c r="G673" s="127">
        <v>427019420.07000023</v>
      </c>
      <c r="H673" s="127">
        <f>(G673/9)*12</f>
        <v>569359226.76000035</v>
      </c>
      <c r="I673" s="128">
        <f>I660+I654+I571+I560+I523+I79+I8</f>
        <v>730170365.40808952</v>
      </c>
      <c r="J673" s="5"/>
      <c r="N673" s="7"/>
      <c r="O673" s="8"/>
      <c r="P673" s="8"/>
      <c r="Q673" s="8"/>
      <c r="R673" s="7"/>
      <c r="S673"/>
      <c r="T673"/>
      <c r="U673"/>
      <c r="V673"/>
      <c r="W673"/>
      <c r="X673"/>
      <c r="Y673"/>
      <c r="Z673"/>
      <c r="AA673"/>
      <c r="AB673"/>
    </row>
    <row r="674" spans="1:28" s="6" customFormat="1" ht="18.75" customHeight="1" thickBot="1">
      <c r="A674" s="1"/>
      <c r="B674" s="1"/>
      <c r="C674" s="166" t="s">
        <v>240</v>
      </c>
      <c r="D674" s="167"/>
      <c r="E674" s="129"/>
      <c r="F674" s="129"/>
      <c r="G674" s="129"/>
      <c r="H674" s="130"/>
      <c r="I674" s="131"/>
      <c r="J674" s="5"/>
      <c r="N674" s="7"/>
      <c r="O674" s="8"/>
      <c r="P674" s="8"/>
      <c r="Q674" s="8"/>
      <c r="R674" s="7"/>
      <c r="S674"/>
      <c r="T674"/>
      <c r="U674"/>
      <c r="V674"/>
      <c r="W674"/>
      <c r="X674"/>
      <c r="Y674"/>
      <c r="Z674"/>
      <c r="AA674"/>
      <c r="AB674"/>
    </row>
    <row r="675" spans="1:28" s="6" customFormat="1" ht="27.75" customHeight="1">
      <c r="A675"/>
      <c r="B675"/>
      <c r="C675" s="145" t="s">
        <v>241</v>
      </c>
      <c r="D675" s="146"/>
      <c r="E675" s="132"/>
      <c r="F675" s="132"/>
      <c r="G675" s="132"/>
      <c r="H675" s="133"/>
      <c r="I675" s="134">
        <v>2576700</v>
      </c>
      <c r="J675" s="5"/>
      <c r="N675" s="7"/>
      <c r="O675" s="8"/>
      <c r="P675" s="8"/>
      <c r="Q675" s="8"/>
      <c r="R675" s="7"/>
      <c r="S675"/>
      <c r="T675"/>
      <c r="U675"/>
      <c r="V675"/>
      <c r="W675"/>
      <c r="X675"/>
      <c r="Y675"/>
      <c r="Z675"/>
      <c r="AA675"/>
      <c r="AB675"/>
    </row>
    <row r="676" spans="1:28" s="6" customFormat="1">
      <c r="A676"/>
      <c r="B676"/>
      <c r="C676" s="162" t="s">
        <v>232</v>
      </c>
      <c r="D676" s="163"/>
      <c r="E676" s="135"/>
      <c r="F676" s="135"/>
      <c r="G676" s="135"/>
      <c r="H676" s="136"/>
      <c r="I676" s="137">
        <v>162234500</v>
      </c>
      <c r="J676" s="5"/>
      <c r="N676" s="7"/>
      <c r="O676" s="8"/>
      <c r="P676" s="8"/>
      <c r="Q676" s="8"/>
      <c r="R676" s="7"/>
      <c r="S676"/>
      <c r="T676"/>
      <c r="U676"/>
      <c r="V676"/>
      <c r="W676"/>
      <c r="X676"/>
      <c r="Y676"/>
      <c r="Z676"/>
      <c r="AA676"/>
      <c r="AB676"/>
    </row>
    <row r="677" spans="1:28" s="6" customFormat="1" ht="30" customHeight="1">
      <c r="A677"/>
      <c r="B677"/>
      <c r="C677" s="145" t="s">
        <v>233</v>
      </c>
      <c r="D677" s="146"/>
      <c r="E677" s="138"/>
      <c r="F677" s="135"/>
      <c r="G677" s="135"/>
      <c r="H677" s="139" t="s">
        <v>234</v>
      </c>
      <c r="I677" s="137">
        <v>1360600</v>
      </c>
      <c r="J677" s="5"/>
      <c r="N677" s="7"/>
      <c r="O677" s="8"/>
      <c r="P677" s="8"/>
      <c r="Q677" s="8"/>
      <c r="R677" s="7"/>
      <c r="S677"/>
      <c r="T677"/>
      <c r="U677"/>
      <c r="V677"/>
      <c r="W677"/>
      <c r="X677"/>
      <c r="Y677"/>
      <c r="Z677"/>
      <c r="AA677"/>
      <c r="AB677"/>
    </row>
    <row r="678" spans="1:28" s="6" customFormat="1" ht="13.5">
      <c r="A678"/>
      <c r="B678"/>
      <c r="C678" s="164" t="s">
        <v>235</v>
      </c>
      <c r="D678" s="165"/>
      <c r="E678" s="135"/>
      <c r="F678" s="135"/>
      <c r="G678" s="135"/>
      <c r="H678" s="136"/>
      <c r="I678" s="137">
        <f>I22+I43+I56+I59+I62+I64+I68+I69+I100+I544+I566+I590+I607+I622+I488+I273</f>
        <v>19027870</v>
      </c>
      <c r="J678" s="5"/>
      <c r="N678" s="7"/>
      <c r="O678" s="8"/>
      <c r="P678" s="8"/>
      <c r="Q678" s="8"/>
      <c r="R678" s="7"/>
      <c r="S678"/>
      <c r="T678"/>
      <c r="U678"/>
      <c r="V678"/>
      <c r="W678"/>
      <c r="X678"/>
      <c r="Y678"/>
      <c r="Z678"/>
      <c r="AA678"/>
      <c r="AB678"/>
    </row>
    <row r="679" spans="1:28" ht="13.5" thickBot="1">
      <c r="C679" s="168"/>
      <c r="D679" s="169"/>
      <c r="E679" s="140"/>
      <c r="F679" s="140"/>
      <c r="G679" s="140"/>
      <c r="H679" s="141"/>
      <c r="I679" s="142"/>
      <c r="J679" s="5"/>
    </row>
    <row r="680" spans="1:28" ht="15">
      <c r="H680" s="37" t="s">
        <v>236</v>
      </c>
    </row>
    <row r="684" spans="1:28" ht="15">
      <c r="D684" s="39"/>
      <c r="I684" s="40"/>
      <c r="S684" s="38"/>
      <c r="T684" s="38"/>
      <c r="U684" s="38"/>
      <c r="V684" s="38"/>
      <c r="W684" s="38"/>
    </row>
    <row r="685" spans="1:28" ht="15">
      <c r="D685" s="39"/>
      <c r="I685" s="40"/>
    </row>
    <row r="686" spans="1:28" ht="15">
      <c r="D686" s="39"/>
      <c r="I686" s="40"/>
    </row>
    <row r="688" spans="1:28">
      <c r="I688" s="38" t="s">
        <v>237</v>
      </c>
    </row>
  </sheetData>
  <mergeCells count="17">
    <mergeCell ref="C676:D676"/>
    <mergeCell ref="C677:D677"/>
    <mergeCell ref="C678:D678"/>
    <mergeCell ref="C674:D674"/>
    <mergeCell ref="C679:D679"/>
    <mergeCell ref="C673:D673"/>
    <mergeCell ref="C675:D675"/>
    <mergeCell ref="C1:D1"/>
    <mergeCell ref="C2:I3"/>
    <mergeCell ref="C4:I4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виконком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Marina_Rada</cp:lastModifiedBy>
  <cp:lastPrinted>2021-12-13T13:38:03Z</cp:lastPrinted>
  <dcterms:created xsi:type="dcterms:W3CDTF">2021-12-08T14:56:12Z</dcterms:created>
  <dcterms:modified xsi:type="dcterms:W3CDTF">2021-12-13T14:52:02Z</dcterms:modified>
</cp:coreProperties>
</file>