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додаток 2" sheetId="1" r:id="rId1"/>
    <sheet name="додаток 3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H54" i="2"/>
  <c r="H59" s="1"/>
  <c r="E51"/>
  <c r="D51"/>
  <c r="H51" s="1"/>
  <c r="I51" s="1"/>
  <c r="J48"/>
  <c r="K48" s="1"/>
  <c r="H48"/>
  <c r="I48" s="1"/>
  <c r="K47"/>
  <c r="I47"/>
  <c r="F47"/>
  <c r="F54" s="1"/>
  <c r="D47"/>
  <c r="E47" s="1"/>
  <c r="J43"/>
  <c r="K43" s="1"/>
  <c r="H43"/>
  <c r="F43"/>
  <c r="E43"/>
  <c r="D42"/>
  <c r="H42" s="1"/>
  <c r="I42" s="1"/>
  <c r="J41"/>
  <c r="K41" s="1"/>
  <c r="D41"/>
  <c r="H41" s="1"/>
  <c r="I41" s="1"/>
  <c r="D40"/>
  <c r="H40" s="1"/>
  <c r="D35"/>
  <c r="D37" s="1"/>
  <c r="H37" s="1"/>
  <c r="I37" s="1"/>
  <c r="D34"/>
  <c r="D33"/>
  <c r="H33" s="1"/>
  <c r="I33" s="1"/>
  <c r="D32"/>
  <c r="D30"/>
  <c r="H30" s="1"/>
  <c r="I30" s="1"/>
  <c r="D29"/>
  <c r="H29" s="1"/>
  <c r="I29" s="1"/>
  <c r="D28"/>
  <c r="D26"/>
  <c r="E25"/>
  <c r="D25"/>
  <c r="H25" s="1"/>
  <c r="I25" s="1"/>
  <c r="D23"/>
  <c r="H23" s="1"/>
  <c r="I23" s="1"/>
  <c r="D21"/>
  <c r="E21" s="1"/>
  <c r="J20"/>
  <c r="H20"/>
  <c r="I20" s="1"/>
  <c r="F20"/>
  <c r="F56" s="1"/>
  <c r="F57" s="1"/>
  <c r="D20"/>
  <c r="E20" s="1"/>
  <c r="J38" i="1"/>
  <c r="I38"/>
  <c r="F38"/>
  <c r="H33"/>
  <c r="E32"/>
  <c r="E36" s="1"/>
  <c r="H31"/>
  <c r="E31"/>
  <c r="J28"/>
  <c r="J32" s="1"/>
  <c r="J36" s="1"/>
  <c r="I28"/>
  <c r="I32" s="1"/>
  <c r="I36" s="1"/>
  <c r="F28"/>
  <c r="F32" s="1"/>
  <c r="F36" s="1"/>
  <c r="E22"/>
  <c r="I22" s="1"/>
  <c r="E21"/>
  <c r="J20"/>
  <c r="I20"/>
  <c r="F20"/>
  <c r="E18"/>
  <c r="I18" s="1"/>
  <c r="J15"/>
  <c r="I15"/>
  <c r="F15"/>
  <c r="E15"/>
  <c r="J14"/>
  <c r="I14"/>
  <c r="F14"/>
  <c r="E14"/>
  <c r="D27" i="2" l="1"/>
  <c r="D36"/>
  <c r="E41"/>
  <c r="J42"/>
  <c r="K42" s="1"/>
  <c r="I52"/>
  <c r="F30"/>
  <c r="G30" s="1"/>
  <c r="E42"/>
  <c r="E30"/>
  <c r="E33"/>
  <c r="E36"/>
  <c r="K52"/>
  <c r="H52"/>
  <c r="F41"/>
  <c r="G41" s="1"/>
  <c r="F42"/>
  <c r="G42" s="1"/>
  <c r="F51"/>
  <c r="G51" s="1"/>
  <c r="J28"/>
  <c r="K28" s="1"/>
  <c r="J25"/>
  <c r="K25" s="1"/>
  <c r="F28"/>
  <c r="G28" s="1"/>
  <c r="J33"/>
  <c r="K33" s="1"/>
  <c r="F25"/>
  <c r="G25" s="1"/>
  <c r="E28"/>
  <c r="J30"/>
  <c r="K30" s="1"/>
  <c r="F33"/>
  <c r="G33" s="1"/>
  <c r="J51"/>
  <c r="K51" s="1"/>
  <c r="F59"/>
  <c r="F55"/>
  <c r="I40"/>
  <c r="I39" s="1"/>
  <c r="H39"/>
  <c r="H32"/>
  <c r="H34"/>
  <c r="I34" s="1"/>
  <c r="F23"/>
  <c r="J23"/>
  <c r="K23" s="1"/>
  <c r="H28"/>
  <c r="F29"/>
  <c r="J29"/>
  <c r="F37"/>
  <c r="J37"/>
  <c r="D39"/>
  <c r="F40"/>
  <c r="J40"/>
  <c r="H56"/>
  <c r="H57" s="1"/>
  <c r="D19"/>
  <c r="D18" s="1"/>
  <c r="G20"/>
  <c r="K20"/>
  <c r="F21"/>
  <c r="J21"/>
  <c r="E23"/>
  <c r="E19" s="1"/>
  <c r="F26"/>
  <c r="J26"/>
  <c r="K26" s="1"/>
  <c r="E29"/>
  <c r="F32"/>
  <c r="J32"/>
  <c r="F34"/>
  <c r="J34"/>
  <c r="K34" s="1"/>
  <c r="E37"/>
  <c r="E40"/>
  <c r="E39" s="1"/>
  <c r="J52"/>
  <c r="H55"/>
  <c r="H21"/>
  <c r="I21" s="1"/>
  <c r="I19" s="1"/>
  <c r="H26"/>
  <c r="I26" s="1"/>
  <c r="E26"/>
  <c r="E32"/>
  <c r="E34"/>
  <c r="I43"/>
  <c r="G47"/>
  <c r="F48"/>
  <c r="E43" i="1"/>
  <c r="F18"/>
  <c r="F21"/>
  <c r="F22"/>
  <c r="E35"/>
  <c r="J18"/>
  <c r="J21"/>
  <c r="J22"/>
  <c r="E19"/>
  <c r="E23"/>
  <c r="I21"/>
  <c r="I43" s="1"/>
  <c r="H36" i="2" l="1"/>
  <c r="I36" s="1"/>
  <c r="F36"/>
  <c r="G36" s="1"/>
  <c r="D38"/>
  <c r="E27"/>
  <c r="J36"/>
  <c r="K36" s="1"/>
  <c r="E31"/>
  <c r="I28"/>
  <c r="I27" s="1"/>
  <c r="H27"/>
  <c r="G48"/>
  <c r="G52" s="1"/>
  <c r="D48"/>
  <c r="G34"/>
  <c r="G40"/>
  <c r="G39" s="1"/>
  <c r="F39"/>
  <c r="G23"/>
  <c r="F31"/>
  <c r="G32"/>
  <c r="G26"/>
  <c r="F19"/>
  <c r="G21"/>
  <c r="K40"/>
  <c r="K39" s="1"/>
  <c r="J39"/>
  <c r="G37"/>
  <c r="G29"/>
  <c r="G27" s="1"/>
  <c r="F27"/>
  <c r="I32"/>
  <c r="I31" s="1"/>
  <c r="H31"/>
  <c r="J31"/>
  <c r="K32"/>
  <c r="K31" s="1"/>
  <c r="J19"/>
  <c r="K21"/>
  <c r="K19" s="1"/>
  <c r="K37"/>
  <c r="K29"/>
  <c r="K27" s="1"/>
  <c r="J27"/>
  <c r="H19"/>
  <c r="F52"/>
  <c r="I19" i="1"/>
  <c r="J19"/>
  <c r="F19"/>
  <c r="I23"/>
  <c r="J23"/>
  <c r="F23"/>
  <c r="F43"/>
  <c r="J43"/>
  <c r="E27"/>
  <c r="E18" i="2" l="1"/>
  <c r="F38"/>
  <c r="J38"/>
  <c r="K38" s="1"/>
  <c r="E38"/>
  <c r="E35" s="1"/>
  <c r="H38"/>
  <c r="K35"/>
  <c r="G19"/>
  <c r="G31"/>
  <c r="K18"/>
  <c r="I18"/>
  <c r="D52"/>
  <c r="E48"/>
  <c r="E52" s="1"/>
  <c r="F18"/>
  <c r="H18"/>
  <c r="J18"/>
  <c r="J27" i="1"/>
  <c r="J31"/>
  <c r="F27"/>
  <c r="F31"/>
  <c r="I27"/>
  <c r="I31"/>
  <c r="I38" i="2" l="1"/>
  <c r="I35" s="1"/>
  <c r="I45" s="1"/>
  <c r="I54" s="1"/>
  <c r="I59" s="1"/>
  <c r="H35"/>
  <c r="G38"/>
  <c r="G35" s="1"/>
  <c r="F35"/>
  <c r="G18"/>
  <c r="G45" s="1"/>
  <c r="G54" s="1"/>
  <c r="K45"/>
  <c r="K54" s="1"/>
  <c r="J35"/>
  <c r="J45" s="1"/>
  <c r="J35" i="1"/>
  <c r="I35"/>
  <c r="F35"/>
  <c r="E29"/>
  <c r="J54" i="2" l="1"/>
  <c r="D45"/>
  <c r="J56"/>
  <c r="J57" s="1"/>
  <c r="F29" i="1"/>
  <c r="I29"/>
  <c r="J29"/>
  <c r="E33"/>
  <c r="E26"/>
  <c r="E45" s="1"/>
  <c r="J55" i="2" l="1"/>
  <c r="D54"/>
  <c r="E45"/>
  <c r="D56"/>
  <c r="D57" s="1"/>
  <c r="E37" i="1"/>
  <c r="E30"/>
  <c r="E34" s="1"/>
  <c r="F33"/>
  <c r="F26"/>
  <c r="F45" s="1"/>
  <c r="J37"/>
  <c r="J33"/>
  <c r="J30" s="1"/>
  <c r="J34" s="1"/>
  <c r="J26"/>
  <c r="J45" s="1"/>
  <c r="I37"/>
  <c r="I33"/>
  <c r="I30" s="1"/>
  <c r="I34" s="1"/>
  <c r="I26"/>
  <c r="I45" s="1"/>
  <c r="D55" i="2" l="1"/>
  <c r="D59"/>
  <c r="E54"/>
  <c r="E59" s="1"/>
  <c r="F37" i="1"/>
  <c r="F30"/>
  <c r="F34" s="1"/>
</calcChain>
</file>

<file path=xl/sharedStrings.xml><?xml version="1.0" encoding="utf-8"?>
<sst xmlns="http://schemas.openxmlformats.org/spreadsheetml/2006/main" count="227" uniqueCount="163">
  <si>
    <t>Додаток 2</t>
  </si>
  <si>
    <t>до рішення виконавчого комітету</t>
  </si>
  <si>
    <t>Боярської міської ради</t>
  </si>
  <si>
    <t>РОЗРАХУНОК</t>
  </si>
  <si>
    <t>тарифів на теплову енергію</t>
  </si>
  <si>
    <t>(без податку на додану вартість)</t>
  </si>
  <si>
    <t>№ з/п</t>
  </si>
  <si>
    <t>Найменування показника</t>
  </si>
  <si>
    <t>Одиниці виміру</t>
  </si>
  <si>
    <t>Сумарні та середньозважені показники</t>
  </si>
  <si>
    <t>На потреби споживачів</t>
  </si>
  <si>
    <t>населення</t>
  </si>
  <si>
    <t>релігійних організацій</t>
  </si>
  <si>
    <t>бюджетних установ</t>
  </si>
  <si>
    <t>інших споживачів</t>
  </si>
  <si>
    <t>Тариф на виробництво теплової енергії, зокрема:</t>
  </si>
  <si>
    <t>грн/Гкал</t>
  </si>
  <si>
    <t>1.1</t>
  </si>
  <si>
    <t>повна планована собівартість виробництва теплової енергії</t>
  </si>
  <si>
    <t>1.2.</t>
  </si>
  <si>
    <t>витрати на відшкодування втрат</t>
  </si>
  <si>
    <t>тис. грн</t>
  </si>
  <si>
    <t>1.3.</t>
  </si>
  <si>
    <t>планований прибуток</t>
  </si>
  <si>
    <t>2.</t>
  </si>
  <si>
    <t>Тариф на транспортування теплової енергії, зокрема:</t>
  </si>
  <si>
    <t>2.1.</t>
  </si>
  <si>
    <t>повна планована собівартість транспортування теплової енергії</t>
  </si>
  <si>
    <t>2.2.</t>
  </si>
  <si>
    <t>витрати на відшкодування втрат теплової енергії в теплових мережах (у тому числі понаднормових втрат) в грошовому виразі</t>
  </si>
  <si>
    <t>2.3.</t>
  </si>
  <si>
    <t>Тариф на постачання теплової енергії, зокрема:</t>
  </si>
  <si>
    <t>3.1.</t>
  </si>
  <si>
    <t>повна планована собівартість постачання теплової енергії</t>
  </si>
  <si>
    <t>3.2.</t>
  </si>
  <si>
    <t>3.3.</t>
  </si>
  <si>
    <t>Тариф на теплову енергію, зокрема:</t>
  </si>
  <si>
    <t>4.1.</t>
  </si>
  <si>
    <t>повна планована собівартість теплової енергії</t>
  </si>
  <si>
    <t>4.2.</t>
  </si>
  <si>
    <t>4.3.</t>
  </si>
  <si>
    <t>планований прибуток*</t>
  </si>
  <si>
    <t>Річні плановані доходи від виробництва, транспортування, постачання теплової енергії, усього, зокрема:</t>
  </si>
  <si>
    <t>5.1.</t>
  </si>
  <si>
    <t>повна планована собівартість виробництва, транспортування, постачання теплової енергії</t>
  </si>
  <si>
    <t>5.2.</t>
  </si>
  <si>
    <t>5.3.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</si>
  <si>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</si>
  <si>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</si>
  <si>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6.1.</t>
  </si>
  <si>
    <t>6.2.</t>
  </si>
  <si>
    <t>6.3.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</si>
  <si>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</si>
  <si>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Гкал</t>
  </si>
  <si>
    <t>7.1.</t>
  </si>
  <si>
    <t>корисний відпуск теплової енергії власним споживачам</t>
  </si>
  <si>
    <t>7.2.</t>
  </si>
  <si>
    <t>корисний відпуск теплової енергії інших власників</t>
  </si>
  <si>
    <t>Рівні рентабельності тарифів:</t>
  </si>
  <si>
    <t>8.1.</t>
  </si>
  <si>
    <t>на виробництво теплової енергії</t>
  </si>
  <si>
    <t>%</t>
  </si>
  <si>
    <t>8.2.</t>
  </si>
  <si>
    <t>на транспортування теплової енергії</t>
  </si>
  <si>
    <t>8.3</t>
  </si>
  <si>
    <t>на постачання теплової енергії</t>
  </si>
  <si>
    <t>8.4</t>
  </si>
  <si>
    <t>на теплову енергію</t>
  </si>
  <si>
    <t>* Прибуток 4% на обігові кошти та податок на прибуток</t>
  </si>
  <si>
    <t>Начальник  КП  "БГВУЖКГ"</t>
  </si>
  <si>
    <t>__________</t>
  </si>
  <si>
    <t>В.А.Камінський</t>
  </si>
  <si>
    <t>(керівник)</t>
  </si>
  <si>
    <t>(підпис)</t>
  </si>
  <si>
    <t>(ініціали, прізвище)</t>
  </si>
  <si>
    <t>Виконавець:Козакевич Г.І. тел. 41-170</t>
  </si>
  <si>
    <t xml:space="preserve">                               по КП "БГВУЖКГ" на опалювальний період 2023-2024 р.р.</t>
  </si>
  <si>
    <t>Додаток 3</t>
  </si>
  <si>
    <t xml:space="preserve">Структура </t>
  </si>
  <si>
    <t>тарифів на теплову енергію на опалювальний період 2023-2024 років</t>
  </si>
  <si>
    <t>по КП " БГВУЖКГ"</t>
  </si>
  <si>
    <t>(без ПДВ)</t>
  </si>
  <si>
    <t>Сумарні та середньо-</t>
  </si>
  <si>
    <t>Для потреб</t>
  </si>
  <si>
    <t>Найменування  показників</t>
  </si>
  <si>
    <t>зважені показники</t>
  </si>
  <si>
    <t>тис.грн на</t>
  </si>
  <si>
    <t>рік</t>
  </si>
  <si>
    <t>1.</t>
  </si>
  <si>
    <t>Виробнича собівартість,у т.ч.:</t>
  </si>
  <si>
    <t>прямі матеріальні витрати, у т.ч.:</t>
  </si>
  <si>
    <t xml:space="preserve">1.1.1 </t>
  </si>
  <si>
    <t>витрати на паливо</t>
  </si>
  <si>
    <t>1.1.2</t>
  </si>
  <si>
    <t>витрати на електроенергію</t>
  </si>
  <si>
    <t>1.1.3</t>
  </si>
  <si>
    <t>вода для технологічних потреб</t>
  </si>
  <si>
    <t>та водовідведення</t>
  </si>
  <si>
    <t>1.1.4</t>
  </si>
  <si>
    <t>матеріали,запасні частини та інші</t>
  </si>
  <si>
    <t>матеріальні ресурси</t>
  </si>
  <si>
    <t>1.2</t>
  </si>
  <si>
    <t>прямі витрати на оплату праці</t>
  </si>
  <si>
    <t>1.3</t>
  </si>
  <si>
    <t>інші прямі витрати, у т.ч.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</si>
  <si>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</si>
  <si>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</si>
  <si>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</si>
  <si>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</si>
  <si>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</si>
  <si>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</si>
  <si>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</si>
  <si>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т.ч.</t>
  </si>
  <si>
    <t>1.4.1</t>
  </si>
  <si>
    <t>витрати на оплату праці</t>
  </si>
  <si>
    <t>1.4.2</t>
  </si>
  <si>
    <t>витрати на соціальні заходи</t>
  </si>
  <si>
    <t>1.4.3</t>
  </si>
  <si>
    <t>інші витрати</t>
  </si>
  <si>
    <t>2</t>
  </si>
  <si>
    <t>Адміністративні витрати, у т.ч.</t>
  </si>
  <si>
    <t>2.1</t>
  </si>
  <si>
    <t>2.2</t>
  </si>
  <si>
    <t>2.3</t>
  </si>
  <si>
    <t>3</t>
  </si>
  <si>
    <t>Витрати на збут, у т.ч.</t>
  </si>
  <si>
    <t>3.1</t>
  </si>
  <si>
    <t>3.2</t>
  </si>
  <si>
    <t>3.3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</si>
  <si>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</si>
  <si>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</si>
  <si>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</si>
  <si>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</si>
  <si>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</si>
  <si>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</si>
  <si>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</si>
  <si>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Витрати на покриття втрат</t>
  </si>
  <si>
    <t>8</t>
  </si>
  <si>
    <t>Розрахунковий прибуток, у т.ч.</t>
  </si>
  <si>
    <t>8.1</t>
  </si>
  <si>
    <t>податок на прибуток</t>
  </si>
  <si>
    <t>8.2</t>
  </si>
  <si>
    <t>резервний фонд(капітал) та дивіденди</t>
  </si>
  <si>
    <t>на розвиток виробництва(виробничі</t>
  </si>
  <si>
    <t>інвестиції)</t>
  </si>
  <si>
    <t>інше використання прибутку</t>
  </si>
  <si>
    <t>9</t>
  </si>
  <si>
    <t>Вартість теплової енергії за відповідними</t>
  </si>
  <si>
    <t>тарифами</t>
  </si>
  <si>
    <t>10</t>
  </si>
  <si>
    <t>Тарифи на теплову енергію, грн/Гкал</t>
  </si>
  <si>
    <t>11</t>
  </si>
  <si>
    <t>Паливна складова у %%</t>
  </si>
  <si>
    <t>12</t>
  </si>
  <si>
    <t>Решта витрат,крім паливної складової %%</t>
  </si>
  <si>
    <t>13</t>
  </si>
  <si>
    <t>Обсяг реалізації теплової енергії, Гкал</t>
  </si>
  <si>
    <t>14</t>
  </si>
  <si>
    <t>Рівень рентабельності,%</t>
  </si>
  <si>
    <t>Керуючий справами</t>
  </si>
  <si>
    <t>Ганна САЛАМАТІНА</t>
  </si>
  <si>
    <t>від 12 жовтня 2023  №2/8</t>
  </si>
  <si>
    <t xml:space="preserve">від 12 жовтня 2023 №2/8 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</si>
</sst>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10" fontId="0" fillId="0" borderId="0" xfId="0" applyNumberFormat="1"/>
    <xf numFmtId="2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2" fontId="4" fillId="0" borderId="11" xfId="0" applyNumberFormat="1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2" fontId="0" fillId="0" borderId="0" xfId="0" applyNumberFormat="1"/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4" fillId="0" borderId="0" xfId="0" applyFont="1"/>
    <xf numFmtId="10" fontId="4" fillId="0" borderId="0" xfId="0" applyNumberFormat="1" applyFont="1"/>
    <xf numFmtId="10" fontId="4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49" fontId="2" fillId="0" borderId="17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10" fontId="8" fillId="0" borderId="0" xfId="0" applyNumberFormat="1" applyFont="1"/>
    <xf numFmtId="0" fontId="6" fillId="0" borderId="21" xfId="0" applyFont="1" applyFill="1" applyBorder="1" applyAlignment="1">
      <alignment horizontal="center"/>
    </xf>
    <xf numFmtId="49" fontId="0" fillId="0" borderId="0" xfId="0" applyNumberFormat="1"/>
    <xf numFmtId="2" fontId="8" fillId="0" borderId="0" xfId="0" applyNumberFormat="1" applyFont="1"/>
    <xf numFmtId="0" fontId="0" fillId="0" borderId="0" xfId="0" applyAlignment="1">
      <alignment horizontal="center"/>
    </xf>
    <xf numFmtId="0" fontId="2" fillId="0" borderId="26" xfId="0" applyFont="1" applyBorder="1"/>
    <xf numFmtId="0" fontId="2" fillId="0" borderId="17" xfId="0" applyFont="1" applyBorder="1"/>
    <xf numFmtId="0" fontId="2" fillId="0" borderId="2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/>
    <xf numFmtId="0" fontId="2" fillId="0" borderId="2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49" fontId="9" fillId="0" borderId="26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49" fontId="9" fillId="0" borderId="28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49" fontId="9" fillId="0" borderId="0" xfId="0" applyNumberFormat="1" applyFont="1"/>
    <xf numFmtId="2" fontId="2" fillId="0" borderId="0" xfId="0" applyNumberFormat="1" applyFont="1"/>
    <xf numFmtId="0" fontId="4" fillId="0" borderId="17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7" fillId="0" borderId="0" xfId="0" applyFont="1" applyAlignment="1"/>
    <xf numFmtId="49" fontId="3" fillId="0" borderId="0" xfId="0" applyNumberFormat="1" applyFont="1"/>
    <xf numFmtId="0" fontId="3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2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8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&#1086;&#1074;&#1080;&#1081;%20&#1090;&#1072;&#1088;&#1080;&#1092;%20&#1085;&#1072;%20&#1090;&#1077;&#1087;&#1083;&#1086;%202023-2024&#1088;&#1086;&#1079;&#1088;&#1072;&#1093;&#1091;&#1085;&#1082;&#1080;%20&#1090;&#1088;&#1072;&#1074;&#1077;&#1085;&#1100;%202023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"/>
      <sheetName val="Лист1"/>
      <sheetName val="2"/>
      <sheetName val="розрах вартості палива"/>
      <sheetName val="розр.екон. ефе по інвест прогр."/>
      <sheetName val="Середня ціна електроенергії"/>
      <sheetName val="розрах витрат електроенергії"/>
      <sheetName val="інформ.про суб.ВВ"/>
      <sheetName val="електроенергія на ремонт"/>
      <sheetName val="Аркуш2"/>
      <sheetName val=" вода і стоки"/>
      <sheetName val="Розрах. зп на вир.тран.і пост "/>
      <sheetName val="накладні витрат. "/>
      <sheetName val="транспортування"/>
      <sheetName val="постачання"/>
      <sheetName val="теплова енергія з прибутком"/>
      <sheetName val="Аркуш1"/>
      <sheetName val="про намір  нові тарифи"/>
      <sheetName val="обгрунтування зміни тарифів"/>
      <sheetName val="вода, стоки на вир.транспортув."/>
      <sheetName val="середня ціна палива за опал.пер"/>
      <sheetName val="розр."/>
      <sheetName val="виробництво"/>
      <sheetName val=" різниця в тарифах"/>
      <sheetName val="Розрахунок інших прямих витрат"/>
      <sheetName val="пояснювальна запика"/>
      <sheetName val="розрах.амортизації"/>
      <sheetName val="повідомл.про намір"/>
      <sheetName val="структура тарифу на тепл.енергі"/>
      <sheetName val="Аркуш3"/>
      <sheetName val="перелік поданих докумен"/>
      <sheetName val="Розр.витрат солі на Космосі"/>
      <sheetName val="інформація про суб&quot;єкта господ"/>
    </sheetNames>
    <sheetDataSet>
      <sheetData sheetId="0"/>
      <sheetData sheetId="1"/>
      <sheetData sheetId="2"/>
      <sheetData sheetId="3"/>
      <sheetData sheetId="4"/>
      <sheetData sheetId="5"/>
      <sheetData sheetId="6">
        <row r="107">
          <cell r="R107">
            <v>2631393.1409009127</v>
          </cell>
        </row>
        <row r="122">
          <cell r="R122">
            <v>2289464.2727600001</v>
          </cell>
        </row>
      </sheetData>
      <sheetData sheetId="7"/>
      <sheetData sheetId="8">
        <row r="19">
          <cell r="C19">
            <v>604497.26260000002</v>
          </cell>
        </row>
      </sheetData>
      <sheetData sheetId="9"/>
      <sheetData sheetId="10"/>
      <sheetData sheetId="11"/>
      <sheetData sheetId="12"/>
      <sheetData sheetId="13">
        <row r="44">
          <cell r="I44">
            <v>906.8413670000001</v>
          </cell>
        </row>
        <row r="45">
          <cell r="I45">
            <v>0</v>
          </cell>
        </row>
        <row r="46">
          <cell r="I46">
            <v>1751.446944</v>
          </cell>
        </row>
        <row r="48">
          <cell r="I48">
            <v>385.31832767999998</v>
          </cell>
        </row>
        <row r="49">
          <cell r="I49">
            <v>68.97372</v>
          </cell>
        </row>
        <row r="50">
          <cell r="I50">
            <v>0</v>
          </cell>
        </row>
        <row r="52">
          <cell r="I52">
            <v>430.398151657705</v>
          </cell>
        </row>
        <row r="53">
          <cell r="I53">
            <v>94.687593379609993</v>
          </cell>
        </row>
        <row r="54">
          <cell r="I54">
            <v>48.564254962684984</v>
          </cell>
        </row>
        <row r="65">
          <cell r="I65">
            <v>6187.7145414399993</v>
          </cell>
        </row>
        <row r="66">
          <cell r="I66">
            <v>0</v>
          </cell>
        </row>
        <row r="67">
          <cell r="I67">
            <v>0</v>
          </cell>
        </row>
        <row r="71">
          <cell r="I71">
            <v>0</v>
          </cell>
        </row>
        <row r="74">
          <cell r="I74">
            <v>301.81028882255384</v>
          </cell>
        </row>
      </sheetData>
      <sheetData sheetId="14">
        <row r="23">
          <cell r="J23">
            <v>13.27</v>
          </cell>
        </row>
        <row r="24">
          <cell r="J24">
            <v>483</v>
          </cell>
        </row>
        <row r="26">
          <cell r="J26">
            <v>106.26</v>
          </cell>
        </row>
        <row r="27">
          <cell r="J27">
            <v>0</v>
          </cell>
        </row>
        <row r="28">
          <cell r="J28">
            <v>4.0540000000000003</v>
          </cell>
        </row>
        <row r="30">
          <cell r="J30">
            <v>48.325538129997</v>
          </cell>
        </row>
        <row r="31">
          <cell r="J31">
            <v>10.631618390273999</v>
          </cell>
        </row>
        <row r="32">
          <cell r="J32">
            <v>5.4528434797289975</v>
          </cell>
        </row>
        <row r="38">
          <cell r="J38">
            <v>687.08917154844596</v>
          </cell>
        </row>
        <row r="39">
          <cell r="J39">
            <v>151.17857399999997</v>
          </cell>
        </row>
        <row r="40">
          <cell r="J40">
            <v>386.84225445155397</v>
          </cell>
        </row>
        <row r="43">
          <cell r="J43">
            <v>1919.9139999999998</v>
          </cell>
        </row>
        <row r="52">
          <cell r="J52">
            <v>93.645205345819903</v>
          </cell>
        </row>
      </sheetData>
      <sheetData sheetId="15">
        <row r="39">
          <cell r="G39">
            <v>1945.5208273686767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32">
          <cell r="H32">
            <v>23504.827889459997</v>
          </cell>
          <cell r="L32">
            <v>18616.1954754</v>
          </cell>
          <cell r="T32">
            <v>3608.2021249499999</v>
          </cell>
          <cell r="X32">
            <v>1280.4302891100001</v>
          </cell>
        </row>
        <row r="39">
          <cell r="H39">
            <v>625.30042000000003</v>
          </cell>
        </row>
        <row r="43">
          <cell r="H43">
            <v>241.041</v>
          </cell>
        </row>
        <row r="45">
          <cell r="H45">
            <v>6178.3351227999992</v>
          </cell>
        </row>
        <row r="49">
          <cell r="H49">
            <v>1359.2337270159999</v>
          </cell>
        </row>
        <row r="51">
          <cell r="H51">
            <v>123.09744000000001</v>
          </cell>
        </row>
        <row r="53">
          <cell r="H53">
            <v>116.42614</v>
          </cell>
        </row>
        <row r="57">
          <cell r="H57">
            <v>2819.162288661716</v>
          </cell>
        </row>
        <row r="59">
          <cell r="H59">
            <v>620.215703603272</v>
          </cell>
        </row>
        <row r="60">
          <cell r="H60">
            <v>318.10200773501197</v>
          </cell>
        </row>
        <row r="78">
          <cell r="H78">
            <v>40530.392142776916</v>
          </cell>
        </row>
        <row r="97">
          <cell r="H97">
            <v>1976.8994314104439</v>
          </cell>
          <cell r="L97">
            <v>1923.3414002369709</v>
          </cell>
          <cell r="T97">
            <v>2079.2820348852988</v>
          </cell>
          <cell r="X97">
            <v>3061.2301188203378</v>
          </cell>
        </row>
        <row r="112">
          <cell r="H112">
            <v>1976.8994314104439</v>
          </cell>
          <cell r="L112">
            <v>1923.3414002369709</v>
          </cell>
          <cell r="T112">
            <v>2079.2820348852988</v>
          </cell>
          <cell r="X112">
            <v>3061.2301188203378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4"/>
  <sheetViews>
    <sheetView workbookViewId="0">
      <selection activeCell="P18" sqref="P18"/>
    </sheetView>
  </sheetViews>
  <sheetFormatPr defaultRowHeight="15"/>
  <cols>
    <col min="2" max="2" width="4.85546875" customWidth="1"/>
    <col min="3" max="3" width="21.85546875" customWidth="1"/>
    <col min="5" max="5" width="9.7109375" customWidth="1"/>
    <col min="6" max="6" width="10.5703125" customWidth="1"/>
    <col min="7" max="7" width="0.28515625" customWidth="1"/>
    <col min="8" max="8" width="10.5703125" customWidth="1"/>
    <col min="9" max="9" width="9" customWidth="1"/>
    <col min="10" max="10" width="11" customWidth="1"/>
    <col min="12" max="12" width="16.140625" customWidth="1"/>
    <col min="14" max="14" width="10.28515625" customWidth="1"/>
  </cols>
  <sheetData>
    <row r="1" spans="1:11" ht="15.75">
      <c r="B1" s="1"/>
      <c r="C1" s="2"/>
      <c r="D1" s="2"/>
      <c r="F1" s="3"/>
      <c r="G1" s="3"/>
      <c r="H1" s="4"/>
      <c r="I1" s="4"/>
      <c r="J1" s="4"/>
    </row>
    <row r="2" spans="1:11">
      <c r="B2" s="21"/>
      <c r="C2" s="2"/>
      <c r="D2" s="2"/>
      <c r="E2" s="22"/>
      <c r="F2" s="2"/>
      <c r="G2" s="2"/>
      <c r="H2" s="77" t="s">
        <v>0</v>
      </c>
      <c r="I2" s="77"/>
      <c r="J2" s="77"/>
    </row>
    <row r="3" spans="1:11">
      <c r="B3" s="21"/>
      <c r="C3" s="2"/>
      <c r="D3" s="2"/>
      <c r="E3" s="22"/>
      <c r="F3" s="2"/>
      <c r="G3" s="2"/>
      <c r="H3" s="77" t="s">
        <v>1</v>
      </c>
      <c r="I3" s="77"/>
      <c r="J3" s="77"/>
    </row>
    <row r="4" spans="1:11">
      <c r="B4" s="21"/>
      <c r="C4" s="2"/>
      <c r="D4" s="2"/>
      <c r="E4" s="22"/>
      <c r="F4" s="2"/>
      <c r="G4" s="2"/>
      <c r="H4" s="77" t="s">
        <v>2</v>
      </c>
      <c r="I4" s="77"/>
      <c r="J4" s="77"/>
    </row>
    <row r="5" spans="1:11">
      <c r="B5" s="21"/>
      <c r="C5" s="2"/>
      <c r="D5" s="2"/>
      <c r="E5" s="22"/>
      <c r="F5" s="2"/>
      <c r="G5" s="2"/>
      <c r="H5" s="77" t="s">
        <v>162</v>
      </c>
      <c r="I5" s="77"/>
      <c r="J5" s="77"/>
    </row>
    <row r="6" spans="1:11" ht="15.75">
      <c r="A6" s="35"/>
      <c r="B6" s="76" t="s">
        <v>3</v>
      </c>
      <c r="C6" s="76"/>
      <c r="D6" s="76"/>
      <c r="E6" s="76"/>
      <c r="F6" s="76"/>
      <c r="G6" s="76"/>
      <c r="H6" s="76"/>
      <c r="I6" s="76"/>
      <c r="J6" s="76"/>
    </row>
    <row r="7" spans="1:11" ht="15.75">
      <c r="A7" s="35"/>
      <c r="B7" s="76" t="s">
        <v>4</v>
      </c>
      <c r="C7" s="76"/>
      <c r="D7" s="76"/>
      <c r="E7" s="76"/>
      <c r="F7" s="76"/>
      <c r="G7" s="76"/>
      <c r="H7" s="76"/>
      <c r="I7" s="76"/>
      <c r="J7" s="76"/>
    </row>
    <row r="8" spans="1:11" ht="15.75">
      <c r="A8" s="76" t="s">
        <v>76</v>
      </c>
      <c r="B8" s="76"/>
      <c r="C8" s="76"/>
      <c r="D8" s="76"/>
      <c r="E8" s="76"/>
      <c r="F8" s="76"/>
      <c r="G8" s="76"/>
      <c r="H8" s="76"/>
      <c r="I8" s="76"/>
      <c r="J8" s="76"/>
    </row>
    <row r="9" spans="1:11" ht="15.75">
      <c r="A9" s="35"/>
      <c r="B9" s="76" t="s">
        <v>5</v>
      </c>
      <c r="C9" s="76"/>
      <c r="D9" s="76"/>
      <c r="E9" s="76"/>
      <c r="F9" s="76"/>
      <c r="G9" s="76"/>
      <c r="H9" s="76"/>
      <c r="I9" s="76"/>
      <c r="J9" s="76"/>
    </row>
    <row r="10" spans="1:11">
      <c r="B10" s="23"/>
      <c r="C10" s="23"/>
      <c r="D10" s="23"/>
      <c r="E10" s="23"/>
      <c r="F10" s="24">
        <v>0.83550000000000002</v>
      </c>
      <c r="G10" s="23"/>
      <c r="H10" s="23"/>
      <c r="I10" s="24">
        <v>0.13650000000000001</v>
      </c>
      <c r="J10" s="25">
        <v>2.8000000000000001E-2</v>
      </c>
      <c r="K10" s="5"/>
    </row>
    <row r="11" spans="1:11" ht="15.75" thickBot="1">
      <c r="B11" s="80" t="s">
        <v>6</v>
      </c>
      <c r="C11" s="82" t="s">
        <v>7</v>
      </c>
      <c r="D11" s="82" t="s">
        <v>8</v>
      </c>
      <c r="E11" s="84" t="s">
        <v>9</v>
      </c>
      <c r="F11" s="86" t="s">
        <v>10</v>
      </c>
      <c r="G11" s="87"/>
      <c r="H11" s="87"/>
      <c r="I11" s="87"/>
      <c r="J11" s="88"/>
    </row>
    <row r="12" spans="1:11" ht="39" thickBot="1">
      <c r="B12" s="81"/>
      <c r="C12" s="83"/>
      <c r="D12" s="83"/>
      <c r="E12" s="85"/>
      <c r="F12" s="89" t="s">
        <v>11</v>
      </c>
      <c r="G12" s="79"/>
      <c r="H12" s="7" t="s">
        <v>12</v>
      </c>
      <c r="I12" s="7" t="s">
        <v>13</v>
      </c>
      <c r="J12" s="26" t="s">
        <v>14</v>
      </c>
    </row>
    <row r="13" spans="1:11" ht="15.75" thickBot="1">
      <c r="B13" s="27">
        <v>1</v>
      </c>
      <c r="C13" s="7">
        <v>2</v>
      </c>
      <c r="D13" s="7">
        <v>3</v>
      </c>
      <c r="E13" s="7">
        <v>4</v>
      </c>
      <c r="F13" s="89">
        <v>5</v>
      </c>
      <c r="G13" s="79"/>
      <c r="H13" s="7">
        <v>6</v>
      </c>
      <c r="I13" s="7">
        <v>7</v>
      </c>
      <c r="J13" s="26">
        <v>8</v>
      </c>
    </row>
    <row r="14" spans="1:11" ht="39" thickBot="1">
      <c r="B14" s="28">
        <v>1</v>
      </c>
      <c r="C14" s="29" t="s">
        <v>15</v>
      </c>
      <c r="D14" s="29" t="s">
        <v>16</v>
      </c>
      <c r="E14" s="6">
        <f>[1]виробництво!H97</f>
        <v>1976.8994314104439</v>
      </c>
      <c r="F14" s="78">
        <f>[1]виробництво!L97</f>
        <v>1923.3414002369709</v>
      </c>
      <c r="G14" s="79"/>
      <c r="H14" s="7">
        <v>0</v>
      </c>
      <c r="I14" s="6">
        <f>[1]виробництво!T97</f>
        <v>2079.2820348852988</v>
      </c>
      <c r="J14" s="8">
        <f>[1]виробництво!X97</f>
        <v>3061.2301188203378</v>
      </c>
    </row>
    <row r="15" spans="1:11" ht="39" thickBot="1">
      <c r="B15" s="30" t="s">
        <v>17</v>
      </c>
      <c r="C15" s="14" t="s">
        <v>18</v>
      </c>
      <c r="D15" s="14" t="s">
        <v>16</v>
      </c>
      <c r="E15" s="9">
        <f>[1]виробництво!H112</f>
        <v>1976.8994314104439</v>
      </c>
      <c r="F15" s="90">
        <f>[1]виробництво!L112</f>
        <v>1923.3414002369709</v>
      </c>
      <c r="G15" s="91"/>
      <c r="H15" s="10">
        <v>0</v>
      </c>
      <c r="I15" s="9">
        <f>[1]виробництво!T112</f>
        <v>2079.2820348852988</v>
      </c>
      <c r="J15" s="11">
        <f>[1]виробництво!X112</f>
        <v>3061.2301188203378</v>
      </c>
    </row>
    <row r="16" spans="1:11" ht="26.25" thickBot="1">
      <c r="B16" s="30" t="s">
        <v>19</v>
      </c>
      <c r="C16" s="14" t="s">
        <v>20</v>
      </c>
      <c r="D16" s="14" t="s">
        <v>21</v>
      </c>
      <c r="E16" s="10">
        <v>0</v>
      </c>
      <c r="F16" s="92">
        <v>0</v>
      </c>
      <c r="G16" s="91"/>
      <c r="H16" s="10">
        <v>0</v>
      </c>
      <c r="I16" s="10">
        <v>0</v>
      </c>
      <c r="J16" s="12">
        <v>0</v>
      </c>
    </row>
    <row r="17" spans="2:16" ht="15.75" thickBot="1">
      <c r="B17" s="30" t="s">
        <v>22</v>
      </c>
      <c r="C17" s="14" t="s">
        <v>23</v>
      </c>
      <c r="D17" s="14" t="s">
        <v>16</v>
      </c>
      <c r="E17" s="10">
        <v>0</v>
      </c>
      <c r="F17" s="92">
        <v>0</v>
      </c>
      <c r="G17" s="91"/>
      <c r="H17" s="10">
        <v>0</v>
      </c>
      <c r="I17" s="10">
        <v>0</v>
      </c>
      <c r="J17" s="12">
        <v>0</v>
      </c>
    </row>
    <row r="18" spans="2:16" ht="41.25" customHeight="1" thickBot="1">
      <c r="B18" s="28" t="s">
        <v>24</v>
      </c>
      <c r="C18" s="29" t="s">
        <v>25</v>
      </c>
      <c r="D18" s="29" t="s">
        <v>16</v>
      </c>
      <c r="E18" s="6">
        <f>[1]транспортування!I74</f>
        <v>301.81028882255384</v>
      </c>
      <c r="F18" s="78">
        <f>E18</f>
        <v>301.81028882255384</v>
      </c>
      <c r="G18" s="79"/>
      <c r="H18" s="6">
        <v>0</v>
      </c>
      <c r="I18" s="6">
        <f>E18</f>
        <v>301.81028882255384</v>
      </c>
      <c r="J18" s="8">
        <f>E18</f>
        <v>301.81028882255384</v>
      </c>
    </row>
    <row r="19" spans="2:16" ht="51.75" thickBot="1">
      <c r="B19" s="30" t="s">
        <v>26</v>
      </c>
      <c r="C19" s="14" t="s">
        <v>27</v>
      </c>
      <c r="D19" s="14" t="s">
        <v>16</v>
      </c>
      <c r="E19" s="9">
        <f>E18-E21</f>
        <v>301.81028882255384</v>
      </c>
      <c r="F19" s="90">
        <f>E19</f>
        <v>301.81028882255384</v>
      </c>
      <c r="G19" s="91"/>
      <c r="H19" s="10">
        <v>0</v>
      </c>
      <c r="I19" s="9">
        <f>E19</f>
        <v>301.81028882255384</v>
      </c>
      <c r="J19" s="11">
        <f>E19</f>
        <v>301.81028882255384</v>
      </c>
    </row>
    <row r="20" spans="2:16" ht="66" customHeight="1" thickBot="1">
      <c r="B20" s="30" t="s">
        <v>28</v>
      </c>
      <c r="C20" s="14" t="s">
        <v>29</v>
      </c>
      <c r="D20" s="14" t="s">
        <v>21</v>
      </c>
      <c r="E20" s="9">
        <v>0</v>
      </c>
      <c r="F20" s="90">
        <f>E20*F10/100</f>
        <v>0</v>
      </c>
      <c r="G20" s="93"/>
      <c r="H20" s="9">
        <v>0</v>
      </c>
      <c r="I20" s="9">
        <f>E20*I10/100</f>
        <v>0</v>
      </c>
      <c r="J20" s="11">
        <f>[1]транспортування!I66</f>
        <v>0</v>
      </c>
      <c r="L20" s="13"/>
    </row>
    <row r="21" spans="2:16" ht="15.75" thickBot="1">
      <c r="B21" s="30" t="s">
        <v>30</v>
      </c>
      <c r="C21" s="14" t="s">
        <v>23</v>
      </c>
      <c r="D21" s="14" t="s">
        <v>16</v>
      </c>
      <c r="E21" s="9">
        <f>[1]транспортування!I67/23261*1000</f>
        <v>0</v>
      </c>
      <c r="F21" s="90">
        <f>E21</f>
        <v>0</v>
      </c>
      <c r="G21" s="91"/>
      <c r="H21" s="10">
        <v>0</v>
      </c>
      <c r="I21" s="9">
        <f>E21</f>
        <v>0</v>
      </c>
      <c r="J21" s="11">
        <f>E21</f>
        <v>0</v>
      </c>
    </row>
    <row r="22" spans="2:16" ht="39" thickBot="1">
      <c r="B22" s="28">
        <v>3</v>
      </c>
      <c r="C22" s="29" t="s">
        <v>31</v>
      </c>
      <c r="D22" s="29" t="s">
        <v>16</v>
      </c>
      <c r="E22" s="6">
        <f>[1]постачання!J52</f>
        <v>93.645205345819903</v>
      </c>
      <c r="F22" s="78">
        <f>E22</f>
        <v>93.645205345819903</v>
      </c>
      <c r="G22" s="79"/>
      <c r="H22" s="6">
        <v>0</v>
      </c>
      <c r="I22" s="6">
        <f>E22</f>
        <v>93.645205345819903</v>
      </c>
      <c r="J22" s="8">
        <f>E22</f>
        <v>93.645205345819903</v>
      </c>
    </row>
    <row r="23" spans="2:16" ht="39" thickBot="1">
      <c r="B23" s="30" t="s">
        <v>32</v>
      </c>
      <c r="C23" s="14" t="s">
        <v>33</v>
      </c>
      <c r="D23" s="14" t="s">
        <v>16</v>
      </c>
      <c r="E23" s="9">
        <f>E22</f>
        <v>93.645205345819903</v>
      </c>
      <c r="F23" s="90">
        <f>E23</f>
        <v>93.645205345819903</v>
      </c>
      <c r="G23" s="91"/>
      <c r="H23" s="10">
        <v>0</v>
      </c>
      <c r="I23" s="9">
        <f>E23</f>
        <v>93.645205345819903</v>
      </c>
      <c r="J23" s="11">
        <f>E23</f>
        <v>93.645205345819903</v>
      </c>
    </row>
    <row r="24" spans="2:16" ht="26.25" thickBot="1">
      <c r="B24" s="30" t="s">
        <v>34</v>
      </c>
      <c r="C24" s="14" t="s">
        <v>20</v>
      </c>
      <c r="D24" s="14" t="s">
        <v>21</v>
      </c>
      <c r="E24" s="10">
        <v>0</v>
      </c>
      <c r="F24" s="92">
        <v>0</v>
      </c>
      <c r="G24" s="91"/>
      <c r="H24" s="10">
        <v>0</v>
      </c>
      <c r="I24" s="10">
        <v>0</v>
      </c>
      <c r="J24" s="12">
        <v>0</v>
      </c>
    </row>
    <row r="25" spans="2:16" ht="15.75" thickBot="1">
      <c r="B25" s="30" t="s">
        <v>35</v>
      </c>
      <c r="C25" s="14" t="s">
        <v>23</v>
      </c>
      <c r="D25" s="14" t="s">
        <v>16</v>
      </c>
      <c r="E25" s="10">
        <v>0</v>
      </c>
      <c r="F25" s="92">
        <v>0</v>
      </c>
      <c r="G25" s="91"/>
      <c r="H25" s="10">
        <v>0</v>
      </c>
      <c r="I25" s="10">
        <v>0</v>
      </c>
      <c r="J25" s="12">
        <v>0</v>
      </c>
    </row>
    <row r="26" spans="2:16" ht="26.25" thickBot="1">
      <c r="B26" s="28">
        <v>4</v>
      </c>
      <c r="C26" s="29" t="s">
        <v>36</v>
      </c>
      <c r="D26" s="29" t="s">
        <v>16</v>
      </c>
      <c r="E26" s="6">
        <f>E27+E28+E29</f>
        <v>2372.3549255788175</v>
      </c>
      <c r="F26" s="78">
        <f>F27+F28+F29</f>
        <v>2318.7968944053446</v>
      </c>
      <c r="G26" s="94"/>
      <c r="H26" s="7">
        <v>0</v>
      </c>
      <c r="I26" s="6">
        <f>I27+I28+I29</f>
        <v>2474.7375290536725</v>
      </c>
      <c r="J26" s="8">
        <f>J27+J28+J29</f>
        <v>3456.6856129887115</v>
      </c>
      <c r="K26" s="13"/>
    </row>
    <row r="27" spans="2:16" ht="39" thickBot="1">
      <c r="B27" s="30" t="s">
        <v>37</v>
      </c>
      <c r="C27" s="14" t="s">
        <v>38</v>
      </c>
      <c r="D27" s="14" t="s">
        <v>16</v>
      </c>
      <c r="E27" s="9">
        <f>E15+E19+E23</f>
        <v>2372.3549255788175</v>
      </c>
      <c r="F27" s="90">
        <f>F15+F19+F23</f>
        <v>2318.7968944053446</v>
      </c>
      <c r="G27" s="91"/>
      <c r="H27" s="10">
        <v>0</v>
      </c>
      <c r="I27" s="9">
        <f>I15+I19+I23</f>
        <v>2474.7375290536725</v>
      </c>
      <c r="J27" s="11">
        <f>J15+J19+J23</f>
        <v>3456.6856129887115</v>
      </c>
    </row>
    <row r="28" spans="2:16" ht="26.25" thickBot="1">
      <c r="B28" s="30" t="s">
        <v>39</v>
      </c>
      <c r="C28" s="14" t="s">
        <v>20</v>
      </c>
      <c r="D28" s="14" t="s">
        <v>21</v>
      </c>
      <c r="E28" s="9">
        <v>0</v>
      </c>
      <c r="F28" s="90">
        <f>E28*0.8760222562</f>
        <v>0</v>
      </c>
      <c r="G28" s="93"/>
      <c r="H28" s="9">
        <v>0</v>
      </c>
      <c r="I28" s="9">
        <f>E28*0.09578400986</f>
        <v>0</v>
      </c>
      <c r="J28" s="11">
        <f>E28*0.028193733896</f>
        <v>0</v>
      </c>
      <c r="L28" s="13"/>
    </row>
    <row r="29" spans="2:16" ht="15.75" thickBot="1">
      <c r="B29" s="30" t="s">
        <v>40</v>
      </c>
      <c r="C29" s="14" t="s">
        <v>41</v>
      </c>
      <c r="D29" s="14" t="s">
        <v>16</v>
      </c>
      <c r="E29" s="9">
        <f>M29</f>
        <v>0</v>
      </c>
      <c r="F29" s="90">
        <f>N29</f>
        <v>0</v>
      </c>
      <c r="G29" s="91"/>
      <c r="H29" s="10">
        <v>0</v>
      </c>
      <c r="I29" s="9">
        <f>O29</f>
        <v>0</v>
      </c>
      <c r="J29" s="11">
        <f>P29</f>
        <v>0</v>
      </c>
      <c r="M29" s="13"/>
      <c r="N29" s="13"/>
      <c r="O29" s="13"/>
      <c r="P29" s="13"/>
    </row>
    <row r="30" spans="2:16" ht="66.75" customHeight="1" thickBot="1">
      <c r="B30" s="30">
        <v>5</v>
      </c>
      <c r="C30" s="14" t="s">
        <v>42</v>
      </c>
      <c r="D30" s="14" t="s">
        <v>21</v>
      </c>
      <c r="E30" s="9">
        <f>E31+E33</f>
        <v>48638.020684216914</v>
      </c>
      <c r="F30" s="90">
        <f>F31+F33</f>
        <v>39593.45697197126</v>
      </c>
      <c r="G30" s="93"/>
      <c r="H30" s="10">
        <v>0</v>
      </c>
      <c r="I30" s="9">
        <f>I31+I33</f>
        <v>7060.4261703901275</v>
      </c>
      <c r="J30" s="11">
        <f>J31+J33</f>
        <v>1984.1375418555203</v>
      </c>
      <c r="L30" s="13"/>
      <c r="M30" s="13"/>
      <c r="N30" s="13"/>
      <c r="O30" s="13"/>
      <c r="P30" s="13"/>
    </row>
    <row r="31" spans="2:16" ht="54.75" customHeight="1" thickBot="1">
      <c r="B31" s="30" t="s">
        <v>43</v>
      </c>
      <c r="C31" s="14" t="s">
        <v>44</v>
      </c>
      <c r="D31" s="14" t="s">
        <v>21</v>
      </c>
      <c r="E31" s="9">
        <f>[1]постачання!J43+[1]транспортування!I65+[1]виробництво!H78</f>
        <v>48638.020684216914</v>
      </c>
      <c r="F31" s="9">
        <f>(F15+F19+F23)*F38/1000</f>
        <v>39593.45697197126</v>
      </c>
      <c r="G31" s="9"/>
      <c r="H31" s="10">
        <f t="shared" ref="H31" si="0">H27*20600/1000</f>
        <v>0</v>
      </c>
      <c r="I31" s="9">
        <f>(I15+I19+I23)*I38/1000</f>
        <v>7060.4261703901275</v>
      </c>
      <c r="J31" s="9">
        <f>(J15+J19+J23)*J39/1000</f>
        <v>1984.1375418555203</v>
      </c>
      <c r="L31" s="13"/>
      <c r="M31" s="13"/>
      <c r="N31" s="13"/>
      <c r="O31" s="13"/>
      <c r="P31" s="13"/>
    </row>
    <row r="32" spans="2:16" ht="26.25" thickBot="1">
      <c r="B32" s="30" t="s">
        <v>45</v>
      </c>
      <c r="C32" s="14" t="s">
        <v>20</v>
      </c>
      <c r="D32" s="14" t="s">
        <v>21</v>
      </c>
      <c r="E32" s="9">
        <f>E28</f>
        <v>0</v>
      </c>
      <c r="F32" s="90">
        <f>F28</f>
        <v>0</v>
      </c>
      <c r="G32" s="91"/>
      <c r="H32" s="10">
        <v>0</v>
      </c>
      <c r="I32" s="9">
        <f>I28</f>
        <v>0</v>
      </c>
      <c r="J32" s="11">
        <f>J28</f>
        <v>0</v>
      </c>
    </row>
    <row r="33" spans="2:12" ht="51" customHeight="1" thickBot="1">
      <c r="B33" s="30" t="s">
        <v>46</v>
      </c>
      <c r="C33" s="14" t="s">
        <v>47</v>
      </c>
      <c r="D33" s="14" t="s">
        <v>21</v>
      </c>
      <c r="E33" s="9">
        <f>E29*E39/1000</f>
        <v>0</v>
      </c>
      <c r="F33" s="90">
        <f>F29*F39/1000</f>
        <v>0</v>
      </c>
      <c r="G33" s="93"/>
      <c r="H33" s="10">
        <f>0</f>
        <v>0</v>
      </c>
      <c r="I33" s="9">
        <f>I29*I39/1000</f>
        <v>0</v>
      </c>
      <c r="J33" s="11">
        <f>J29*J39/1000</f>
        <v>0</v>
      </c>
      <c r="L33" s="13"/>
    </row>
    <row r="34" spans="2:12" ht="102" customHeight="1" thickBot="1">
      <c r="B34" s="30">
        <v>6</v>
      </c>
      <c r="C34" s="14" t="s">
        <v>48</v>
      </c>
      <c r="D34" s="14" t="s">
        <v>21</v>
      </c>
      <c r="E34" s="9">
        <f t="shared" ref="E34:F36" si="1">E30</f>
        <v>48638.020684216914</v>
      </c>
      <c r="F34" s="90">
        <f t="shared" si="1"/>
        <v>39593.45697197126</v>
      </c>
      <c r="G34" s="93"/>
      <c r="H34" s="10">
        <v>0</v>
      </c>
      <c r="I34" s="9">
        <f t="shared" ref="I34:J36" si="2">I30</f>
        <v>7060.4261703901275</v>
      </c>
      <c r="J34" s="11">
        <f t="shared" si="2"/>
        <v>1984.1375418555203</v>
      </c>
    </row>
    <row r="35" spans="2:12" ht="51" customHeight="1" thickBot="1">
      <c r="B35" s="30" t="s">
        <v>49</v>
      </c>
      <c r="C35" s="14" t="s">
        <v>44</v>
      </c>
      <c r="D35" s="14" t="s">
        <v>21</v>
      </c>
      <c r="E35" s="9">
        <f t="shared" si="1"/>
        <v>48638.020684216914</v>
      </c>
      <c r="F35" s="90">
        <f t="shared" si="1"/>
        <v>39593.45697197126</v>
      </c>
      <c r="G35" s="93"/>
      <c r="H35" s="9"/>
      <c r="I35" s="9">
        <f t="shared" si="2"/>
        <v>7060.4261703901275</v>
      </c>
      <c r="J35" s="11">
        <f t="shared" si="2"/>
        <v>1984.1375418555203</v>
      </c>
      <c r="L35" s="13"/>
    </row>
    <row r="36" spans="2:12" ht="26.25" thickBot="1">
      <c r="B36" s="30" t="s">
        <v>50</v>
      </c>
      <c r="C36" s="14" t="s">
        <v>20</v>
      </c>
      <c r="D36" s="14" t="s">
        <v>21</v>
      </c>
      <c r="E36" s="9">
        <f t="shared" si="1"/>
        <v>0</v>
      </c>
      <c r="F36" s="90">
        <f t="shared" si="1"/>
        <v>0</v>
      </c>
      <c r="G36" s="91"/>
      <c r="H36" s="10">
        <v>0</v>
      </c>
      <c r="I36" s="9">
        <f t="shared" si="2"/>
        <v>0</v>
      </c>
      <c r="J36" s="11">
        <f t="shared" si="2"/>
        <v>0</v>
      </c>
    </row>
    <row r="37" spans="2:12" ht="54.75" customHeight="1" thickBot="1">
      <c r="B37" s="30" t="s">
        <v>51</v>
      </c>
      <c r="C37" s="14" t="s">
        <v>47</v>
      </c>
      <c r="D37" s="14" t="s">
        <v>21</v>
      </c>
      <c r="E37" s="9">
        <f>E33</f>
        <v>0</v>
      </c>
      <c r="F37" s="90">
        <f>F33</f>
        <v>0</v>
      </c>
      <c r="G37" s="91"/>
      <c r="H37" s="10">
        <v>0</v>
      </c>
      <c r="I37" s="9">
        <f>I29*I39/1000</f>
        <v>0</v>
      </c>
      <c r="J37" s="11">
        <f>J39*J29/1000</f>
        <v>0</v>
      </c>
      <c r="L37" s="13"/>
    </row>
    <row r="38" spans="2:12" ht="70.5" customHeight="1" thickBot="1">
      <c r="B38" s="30">
        <v>7</v>
      </c>
      <c r="C38" s="14" t="s">
        <v>52</v>
      </c>
      <c r="D38" s="14" t="s">
        <v>53</v>
      </c>
      <c r="E38" s="10">
        <v>20502</v>
      </c>
      <c r="F38" s="92">
        <f>F39</f>
        <v>17075</v>
      </c>
      <c r="G38" s="91"/>
      <c r="H38" s="10">
        <v>0</v>
      </c>
      <c r="I38" s="9">
        <f>I39</f>
        <v>2853</v>
      </c>
      <c r="J38" s="12">
        <f>J39</f>
        <v>574</v>
      </c>
    </row>
    <row r="39" spans="2:12" ht="39" thickBot="1">
      <c r="B39" s="30" t="s">
        <v>54</v>
      </c>
      <c r="C39" s="14" t="s">
        <v>55</v>
      </c>
      <c r="D39" s="14" t="s">
        <v>53</v>
      </c>
      <c r="E39" s="10">
        <v>20502</v>
      </c>
      <c r="F39" s="92">
        <v>17075</v>
      </c>
      <c r="G39" s="91"/>
      <c r="H39" s="10">
        <v>0</v>
      </c>
      <c r="I39" s="10">
        <v>2853</v>
      </c>
      <c r="J39" s="12">
        <v>574</v>
      </c>
    </row>
    <row r="40" spans="2:12" ht="39" thickBot="1">
      <c r="B40" s="30" t="s">
        <v>56</v>
      </c>
      <c r="C40" s="14" t="s">
        <v>57</v>
      </c>
      <c r="D40" s="14" t="s">
        <v>53</v>
      </c>
      <c r="E40" s="10">
        <v>0</v>
      </c>
      <c r="F40" s="92">
        <v>0</v>
      </c>
      <c r="G40" s="91"/>
      <c r="H40" s="10">
        <v>0</v>
      </c>
      <c r="I40" s="10">
        <v>0</v>
      </c>
      <c r="J40" s="12">
        <v>0</v>
      </c>
    </row>
    <row r="41" spans="2:12" ht="26.25" thickBot="1">
      <c r="B41" s="30">
        <v>8</v>
      </c>
      <c r="C41" s="14" t="s">
        <v>58</v>
      </c>
      <c r="D41" s="14"/>
      <c r="E41" s="10"/>
      <c r="F41" s="92"/>
      <c r="G41" s="91"/>
      <c r="H41" s="10"/>
      <c r="I41" s="10"/>
      <c r="J41" s="12"/>
    </row>
    <row r="42" spans="2:12" ht="26.25" thickBot="1">
      <c r="B42" s="30" t="s">
        <v>59</v>
      </c>
      <c r="C42" s="14" t="s">
        <v>60</v>
      </c>
      <c r="D42" s="14" t="s">
        <v>61</v>
      </c>
      <c r="E42" s="10">
        <v>0</v>
      </c>
      <c r="F42" s="92">
        <v>0</v>
      </c>
      <c r="G42" s="91"/>
      <c r="H42" s="10">
        <v>0</v>
      </c>
      <c r="I42" s="10">
        <v>0</v>
      </c>
      <c r="J42" s="12">
        <v>0</v>
      </c>
    </row>
    <row r="43" spans="2:12" ht="26.25" thickBot="1">
      <c r="B43" s="30" t="s">
        <v>62</v>
      </c>
      <c r="C43" s="14" t="s">
        <v>63</v>
      </c>
      <c r="D43" s="14" t="s">
        <v>61</v>
      </c>
      <c r="E43" s="9">
        <f>E21*100/E18</f>
        <v>0</v>
      </c>
      <c r="F43" s="90">
        <f>F21*100/F18</f>
        <v>0</v>
      </c>
      <c r="G43" s="93"/>
      <c r="H43" s="10">
        <v>0</v>
      </c>
      <c r="I43" s="9">
        <f>I21*100/I18</f>
        <v>0</v>
      </c>
      <c r="J43" s="11">
        <f>J21*100/J18</f>
        <v>0</v>
      </c>
    </row>
    <row r="44" spans="2:12" ht="25.5">
      <c r="B44" s="31" t="s">
        <v>64</v>
      </c>
      <c r="C44" s="32" t="s">
        <v>65</v>
      </c>
      <c r="D44" s="32" t="s">
        <v>61</v>
      </c>
      <c r="E44" s="15">
        <v>0</v>
      </c>
      <c r="F44" s="95">
        <v>0</v>
      </c>
      <c r="G44" s="96"/>
      <c r="H44" s="15">
        <v>0</v>
      </c>
      <c r="I44" s="15">
        <v>0</v>
      </c>
      <c r="J44" s="16">
        <v>0</v>
      </c>
    </row>
    <row r="45" spans="2:12">
      <c r="B45" s="33" t="s">
        <v>66</v>
      </c>
      <c r="C45" s="34" t="s">
        <v>67</v>
      </c>
      <c r="D45" s="34" t="s">
        <v>61</v>
      </c>
      <c r="E45" s="17">
        <f>E29*100/E26</f>
        <v>0</v>
      </c>
      <c r="F45" s="97">
        <f>F29*100/F26</f>
        <v>0</v>
      </c>
      <c r="G45" s="97"/>
      <c r="H45" s="17">
        <v>0</v>
      </c>
      <c r="I45" s="17">
        <f>I29*100/I26</f>
        <v>0</v>
      </c>
      <c r="J45" s="17">
        <f>J29*100/J26</f>
        <v>0</v>
      </c>
    </row>
    <row r="46" spans="2:12">
      <c r="B46" s="98" t="s">
        <v>68</v>
      </c>
      <c r="C46" s="99"/>
      <c r="D46" s="99"/>
      <c r="E46" s="99"/>
      <c r="F46" s="99"/>
      <c r="G46" s="99"/>
      <c r="H46" s="99"/>
      <c r="I46" s="99"/>
      <c r="J46" s="100"/>
    </row>
    <row r="47" spans="2:12">
      <c r="B47" s="101" t="s">
        <v>69</v>
      </c>
      <c r="C47" s="102"/>
      <c r="D47" s="102"/>
      <c r="E47" s="102" t="s">
        <v>70</v>
      </c>
      <c r="F47" s="102"/>
      <c r="G47" s="102" t="s">
        <v>71</v>
      </c>
      <c r="H47" s="102"/>
      <c r="I47" s="102"/>
      <c r="J47" s="103"/>
    </row>
    <row r="48" spans="2:12">
      <c r="B48" s="101" t="s">
        <v>72</v>
      </c>
      <c r="C48" s="102"/>
      <c r="D48" s="102"/>
      <c r="E48" s="102" t="s">
        <v>73</v>
      </c>
      <c r="F48" s="102"/>
      <c r="G48" s="102" t="s">
        <v>74</v>
      </c>
      <c r="H48" s="102"/>
      <c r="I48" s="102"/>
      <c r="J48" s="103"/>
    </row>
    <row r="49" spans="2:10" ht="26.25">
      <c r="B49" s="18"/>
      <c r="C49" s="19" t="s">
        <v>75</v>
      </c>
      <c r="D49" s="19"/>
      <c r="E49" s="19"/>
      <c r="F49" s="19"/>
      <c r="G49" s="19"/>
      <c r="H49" s="19"/>
      <c r="I49" s="19"/>
      <c r="J49" s="20"/>
    </row>
    <row r="50" spans="2:10">
      <c r="B50" s="22"/>
      <c r="C50" s="22"/>
      <c r="D50" s="22"/>
      <c r="E50" s="22"/>
      <c r="F50" s="22"/>
      <c r="G50" s="22"/>
      <c r="H50" s="22"/>
      <c r="I50" s="22"/>
      <c r="J50" s="22"/>
    </row>
    <row r="51" spans="2:10">
      <c r="B51" s="22"/>
      <c r="C51" s="22"/>
      <c r="D51" s="22"/>
      <c r="E51" s="22"/>
      <c r="F51" s="22"/>
      <c r="G51" s="22"/>
      <c r="H51" s="22"/>
      <c r="I51" s="22"/>
      <c r="J51" s="22"/>
    </row>
    <row r="52" spans="2:10">
      <c r="B52" s="22"/>
      <c r="C52" s="22"/>
      <c r="D52" s="22"/>
      <c r="E52" s="22"/>
      <c r="F52" s="22"/>
      <c r="G52" s="22"/>
      <c r="H52" s="22"/>
      <c r="I52" s="22"/>
      <c r="J52" s="22"/>
    </row>
    <row r="53" spans="2:10">
      <c r="B53" s="104" t="s">
        <v>159</v>
      </c>
      <c r="C53" s="104"/>
      <c r="D53" s="75"/>
      <c r="E53" s="75"/>
      <c r="F53" s="75"/>
      <c r="G53" s="75"/>
      <c r="H53" s="104" t="s">
        <v>160</v>
      </c>
      <c r="I53" s="104"/>
      <c r="J53" s="104"/>
    </row>
    <row r="54" spans="2:10">
      <c r="F54" s="13"/>
    </row>
  </sheetData>
  <mergeCells count="55">
    <mergeCell ref="B53:C53"/>
    <mergeCell ref="H53:J53"/>
    <mergeCell ref="B48:D48"/>
    <mergeCell ref="E48:F48"/>
    <mergeCell ref="G48:J48"/>
    <mergeCell ref="F44:G44"/>
    <mergeCell ref="F45:G45"/>
    <mergeCell ref="B46:J46"/>
    <mergeCell ref="B47:D47"/>
    <mergeCell ref="E47:F47"/>
    <mergeCell ref="G47:J47"/>
    <mergeCell ref="F43:G43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30:G30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18:G18"/>
    <mergeCell ref="B9:J9"/>
    <mergeCell ref="B11:B12"/>
    <mergeCell ref="C11:C12"/>
    <mergeCell ref="D11:D12"/>
    <mergeCell ref="E11:E12"/>
    <mergeCell ref="F11:J11"/>
    <mergeCell ref="F12:G12"/>
    <mergeCell ref="F13:G13"/>
    <mergeCell ref="F14:G14"/>
    <mergeCell ref="F15:G15"/>
    <mergeCell ref="F16:G16"/>
    <mergeCell ref="F17:G17"/>
    <mergeCell ref="B7:J7"/>
    <mergeCell ref="A8:J8"/>
    <mergeCell ref="H2:J2"/>
    <mergeCell ref="H3:J3"/>
    <mergeCell ref="H4:J4"/>
    <mergeCell ref="H5:J5"/>
    <mergeCell ref="B6:J6"/>
  </mergeCells>
  <pageMargins left="0.31496062992125984" right="0.31496062992125984" top="0.15748031496062992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O109"/>
  <sheetViews>
    <sheetView tabSelected="1" workbookViewId="0">
      <selection activeCell="Q25" sqref="Q25"/>
    </sheetView>
  </sheetViews>
  <sheetFormatPr defaultRowHeight="15"/>
  <cols>
    <col min="1" max="1" width="4.7109375" customWidth="1"/>
    <col min="2" max="2" width="5" customWidth="1"/>
    <col min="3" max="3" width="23" customWidth="1"/>
    <col min="4" max="4" width="9.140625" customWidth="1"/>
    <col min="5" max="5" width="7.85546875" customWidth="1"/>
    <col min="6" max="6" width="9.42578125" customWidth="1"/>
    <col min="7" max="7" width="8.28515625" customWidth="1"/>
    <col min="8" max="8" width="8" customWidth="1"/>
    <col min="9" max="9" width="7.5703125" customWidth="1"/>
    <col min="10" max="10" width="8" customWidth="1"/>
    <col min="11" max="11" width="7.7109375" customWidth="1"/>
    <col min="13" max="13" width="11.5703125" bestFit="1" customWidth="1"/>
    <col min="14" max="14" width="13.42578125" customWidth="1"/>
    <col min="15" max="15" width="12.7109375" bestFit="1" customWidth="1"/>
  </cols>
  <sheetData>
    <row r="2" spans="2:13">
      <c r="G2" s="104" t="s">
        <v>77</v>
      </c>
      <c r="H2" s="104"/>
      <c r="I2" s="104"/>
      <c r="J2" s="104"/>
    </row>
    <row r="3" spans="2:13">
      <c r="G3" s="72" t="s">
        <v>1</v>
      </c>
      <c r="H3" s="72"/>
      <c r="I3" s="72"/>
      <c r="J3" s="72"/>
    </row>
    <row r="4" spans="2:13">
      <c r="G4" s="104" t="s">
        <v>2</v>
      </c>
      <c r="H4" s="104"/>
      <c r="I4" s="104"/>
      <c r="J4" s="104"/>
    </row>
    <row r="5" spans="2:13">
      <c r="G5" s="104" t="s">
        <v>161</v>
      </c>
      <c r="H5" s="104"/>
      <c r="I5" s="104"/>
      <c r="J5" s="104"/>
    </row>
    <row r="8" spans="2:13" ht="15.75">
      <c r="C8" s="105" t="s">
        <v>78</v>
      </c>
      <c r="D8" s="105"/>
      <c r="E8" s="105"/>
      <c r="F8" s="105"/>
      <c r="G8" s="105"/>
      <c r="H8" s="105"/>
      <c r="I8" s="105"/>
      <c r="J8" s="105"/>
    </row>
    <row r="9" spans="2:13">
      <c r="C9" s="106" t="s">
        <v>79</v>
      </c>
      <c r="D9" s="106"/>
      <c r="E9" s="106"/>
      <c r="F9" s="106"/>
      <c r="G9" s="106"/>
      <c r="H9" s="106"/>
      <c r="I9" s="106"/>
      <c r="J9" s="106"/>
    </row>
    <row r="10" spans="2:13">
      <c r="C10" s="106" t="s">
        <v>80</v>
      </c>
      <c r="D10" s="106"/>
      <c r="E10" s="106"/>
      <c r="F10" s="106"/>
      <c r="G10" s="106"/>
      <c r="H10" s="106"/>
      <c r="I10" s="106"/>
      <c r="J10" s="106"/>
    </row>
    <row r="11" spans="2:13">
      <c r="C11" s="108" t="s">
        <v>81</v>
      </c>
      <c r="D11" s="108"/>
      <c r="E11" s="108"/>
      <c r="F11" s="108"/>
      <c r="G11" s="108"/>
      <c r="H11" s="108"/>
      <c r="I11" s="108"/>
      <c r="J11" s="108"/>
    </row>
    <row r="12" spans="2:13">
      <c r="C12" s="36"/>
      <c r="D12" s="36"/>
      <c r="E12" s="36"/>
      <c r="F12" s="36"/>
      <c r="G12" s="37">
        <v>0.83550000000000002</v>
      </c>
      <c r="H12" s="36"/>
      <c r="I12" s="37">
        <v>0.13650000000000001</v>
      </c>
      <c r="J12" s="36"/>
      <c r="K12" s="37">
        <v>2.8000000000000001E-2</v>
      </c>
      <c r="M12" s="5"/>
    </row>
    <row r="13" spans="2:13">
      <c r="B13" s="115" t="s">
        <v>6</v>
      </c>
      <c r="C13" s="42"/>
      <c r="D13" s="109" t="s">
        <v>82</v>
      </c>
      <c r="E13" s="110"/>
      <c r="F13" s="111" t="s">
        <v>83</v>
      </c>
      <c r="G13" s="110"/>
      <c r="H13" s="111" t="s">
        <v>83</v>
      </c>
      <c r="I13" s="110"/>
      <c r="J13" s="111" t="s">
        <v>83</v>
      </c>
      <c r="K13" s="110"/>
    </row>
    <row r="14" spans="2:13">
      <c r="B14" s="116"/>
      <c r="C14" s="42" t="s">
        <v>84</v>
      </c>
      <c r="D14" s="112" t="s">
        <v>85</v>
      </c>
      <c r="E14" s="113"/>
      <c r="F14" s="114" t="s">
        <v>11</v>
      </c>
      <c r="G14" s="113"/>
      <c r="H14" s="114" t="s">
        <v>13</v>
      </c>
      <c r="I14" s="113"/>
      <c r="J14" s="114" t="s">
        <v>14</v>
      </c>
      <c r="K14" s="113"/>
    </row>
    <row r="15" spans="2:13">
      <c r="B15" s="116"/>
      <c r="C15" s="43"/>
      <c r="D15" s="44" t="s">
        <v>86</v>
      </c>
      <c r="E15" s="45"/>
      <c r="F15" s="45" t="s">
        <v>86</v>
      </c>
      <c r="G15" s="45"/>
      <c r="H15" s="45" t="s">
        <v>86</v>
      </c>
      <c r="I15" s="45"/>
      <c r="J15" s="45" t="s">
        <v>86</v>
      </c>
      <c r="K15" s="45"/>
    </row>
    <row r="16" spans="2:13">
      <c r="B16" s="117"/>
      <c r="C16" s="46"/>
      <c r="D16" s="47" t="s">
        <v>87</v>
      </c>
      <c r="E16" s="48" t="s">
        <v>16</v>
      </c>
      <c r="F16" s="48" t="s">
        <v>87</v>
      </c>
      <c r="G16" s="48" t="s">
        <v>16</v>
      </c>
      <c r="H16" s="48" t="s">
        <v>87</v>
      </c>
      <c r="I16" s="48" t="s">
        <v>16</v>
      </c>
      <c r="J16" s="48" t="s">
        <v>87</v>
      </c>
      <c r="K16" s="48" t="s">
        <v>16</v>
      </c>
    </row>
    <row r="17" spans="2:15">
      <c r="B17" s="49">
        <v>1</v>
      </c>
      <c r="C17" s="50">
        <v>2</v>
      </c>
      <c r="D17" s="50">
        <v>3</v>
      </c>
      <c r="E17" s="50">
        <v>4</v>
      </c>
      <c r="F17" s="50">
        <v>5</v>
      </c>
      <c r="G17" s="50">
        <v>6</v>
      </c>
      <c r="H17" s="50">
        <v>7</v>
      </c>
      <c r="I17" s="50">
        <v>8</v>
      </c>
      <c r="J17" s="50">
        <v>9</v>
      </c>
      <c r="K17" s="50">
        <v>10</v>
      </c>
    </row>
    <row r="18" spans="2:15" ht="26.25">
      <c r="B18" s="49" t="s">
        <v>88</v>
      </c>
      <c r="C18" s="66" t="s">
        <v>89</v>
      </c>
      <c r="D18" s="51">
        <f>D19+D26+D27+D31</f>
        <v>45788.330774216913</v>
      </c>
      <c r="E18" s="51">
        <f>E19+E26+E27+E31</f>
        <v>2233.3587344755101</v>
      </c>
      <c r="F18" s="51">
        <f t="shared" ref="F18:K18" si="0">F19+F26+F27+F31</f>
        <v>37234.045485559909</v>
      </c>
      <c r="G18" s="51">
        <f t="shared" si="0"/>
        <v>2180.6175979830109</v>
      </c>
      <c r="H18" s="51">
        <f t="shared" si="0"/>
        <v>6649.9006364842044</v>
      </c>
      <c r="I18" s="51">
        <f t="shared" si="0"/>
        <v>2330.8449479439905</v>
      </c>
      <c r="J18" s="51">
        <f t="shared" si="0"/>
        <v>1904.3681889118882</v>
      </c>
      <c r="K18" s="51">
        <f t="shared" si="0"/>
        <v>3317.714614829074</v>
      </c>
      <c r="L18" s="13"/>
    </row>
    <row r="19" spans="2:15" ht="26.25">
      <c r="B19" s="52" t="s">
        <v>17</v>
      </c>
      <c r="C19" s="66" t="s">
        <v>90</v>
      </c>
      <c r="D19" s="53">
        <f>D20+D21+D23+D25</f>
        <v>30816.635352720914</v>
      </c>
      <c r="E19" s="53">
        <f>E20+E21+E23+E25</f>
        <v>1503.1038607316802</v>
      </c>
      <c r="F19" s="53">
        <f t="shared" ref="F19:K19" si="1">F20+F21+F23+F25</f>
        <v>24725.202315899998</v>
      </c>
      <c r="G19" s="53">
        <f t="shared" si="1"/>
        <v>1448.0352747232798</v>
      </c>
      <c r="H19" s="53">
        <f t="shared" si="1"/>
        <v>4606.2655764500005</v>
      </c>
      <c r="I19" s="53">
        <f t="shared" si="1"/>
        <v>1614.5340260953385</v>
      </c>
      <c r="J19" s="53">
        <f t="shared" si="1"/>
        <v>1485.1609971100002</v>
      </c>
      <c r="K19" s="53">
        <f t="shared" si="1"/>
        <v>2587.3884967073177</v>
      </c>
      <c r="L19" s="13"/>
    </row>
    <row r="20" spans="2:15">
      <c r="B20" s="52" t="s">
        <v>91</v>
      </c>
      <c r="C20" s="67" t="s">
        <v>92</v>
      </c>
      <c r="D20" s="53">
        <f>[1]виробництво!H32</f>
        <v>23504.827889459997</v>
      </c>
      <c r="E20" s="53">
        <f>D20/D58*1000</f>
        <v>1146.4651199619548</v>
      </c>
      <c r="F20" s="53">
        <f>[1]виробництво!L32</f>
        <v>18616.1954754</v>
      </c>
      <c r="G20" s="53">
        <f>F20/F58*1000</f>
        <v>1090.2603499502197</v>
      </c>
      <c r="H20" s="53">
        <f>[1]виробництво!T32</f>
        <v>3608.2021249499999</v>
      </c>
      <c r="I20" s="53">
        <f>H20/H58*1000</f>
        <v>1264.7045653522609</v>
      </c>
      <c r="J20" s="53">
        <f>[1]виробництво!X32</f>
        <v>1280.4302891100001</v>
      </c>
      <c r="K20" s="53">
        <f>J20/J58*1000</f>
        <v>2230.7147893902443</v>
      </c>
      <c r="L20" s="13"/>
      <c r="M20" s="13"/>
    </row>
    <row r="21" spans="2:15">
      <c r="B21" s="52" t="s">
        <v>93</v>
      </c>
      <c r="C21" s="67" t="s">
        <v>94</v>
      </c>
      <c r="D21" s="53">
        <f>('[1]розрах витрат електроенергії'!R122+'[1]розрах витрат електроенергії'!R107+'[1]електроенергія на ремонт'!C19)/1000</f>
        <v>5525.354676260913</v>
      </c>
      <c r="E21" s="53">
        <f>D21/D58*1000</f>
        <v>269.50320340751699</v>
      </c>
      <c r="F21" s="53">
        <f>ROUND(D21*G12,2)</f>
        <v>4616.43</v>
      </c>
      <c r="G21" s="53">
        <f>F21/F58*1000</f>
        <v>270.36193265007324</v>
      </c>
      <c r="H21" s="53">
        <f>ROUND(D21*I12,2)</f>
        <v>754.21</v>
      </c>
      <c r="I21" s="53">
        <f>H21/H58*1000</f>
        <v>264.35681738520856</v>
      </c>
      <c r="J21" s="53">
        <f>ROUND(D21*K12,2)</f>
        <v>154.71</v>
      </c>
      <c r="K21" s="53">
        <f>J21/J58*1000</f>
        <v>269.52961672473867</v>
      </c>
      <c r="L21" s="13"/>
      <c r="M21" s="13"/>
    </row>
    <row r="22" spans="2:15" ht="26.25">
      <c r="B22" s="54" t="s">
        <v>95</v>
      </c>
      <c r="C22" s="68" t="s">
        <v>96</v>
      </c>
      <c r="D22" s="55"/>
      <c r="E22" s="56"/>
      <c r="F22" s="53"/>
      <c r="G22" s="56"/>
      <c r="H22" s="53"/>
      <c r="I22" s="56"/>
      <c r="J22" s="53"/>
      <c r="K22" s="56"/>
    </row>
    <row r="23" spans="2:15">
      <c r="B23" s="57"/>
      <c r="C23" s="69" t="s">
        <v>97</v>
      </c>
      <c r="D23" s="55">
        <f>[1]виробництво!H39+[1]транспортування!I44</f>
        <v>1532.141787</v>
      </c>
      <c r="E23" s="58">
        <f>D23/D58*1000</f>
        <v>74.731332894351766</v>
      </c>
      <c r="F23" s="53">
        <f>ROUND(D23*G12,2)</f>
        <v>1280.0999999999999</v>
      </c>
      <c r="G23" s="58">
        <f>F23/F58*1000</f>
        <v>74.969253294289899</v>
      </c>
      <c r="H23" s="53">
        <f>ROUND(D23*I12,2)</f>
        <v>209.14</v>
      </c>
      <c r="I23" s="58">
        <f>H23/H58*1000</f>
        <v>73.305292674377839</v>
      </c>
      <c r="J23" s="53">
        <f>ROUND(D23*K12,2)</f>
        <v>42.9</v>
      </c>
      <c r="K23" s="58">
        <f>J23/J58*1000</f>
        <v>74.738675958188139</v>
      </c>
      <c r="L23" s="13"/>
      <c r="M23" s="13"/>
      <c r="O23" s="13"/>
    </row>
    <row r="24" spans="2:15" ht="26.25">
      <c r="B24" s="54" t="s">
        <v>98</v>
      </c>
      <c r="C24" s="68" t="s">
        <v>99</v>
      </c>
      <c r="D24" s="59"/>
      <c r="E24" s="56"/>
      <c r="F24" s="56"/>
      <c r="G24" s="56"/>
      <c r="H24" s="56"/>
      <c r="I24" s="56"/>
      <c r="J24" s="56"/>
      <c r="K24" s="56"/>
    </row>
    <row r="25" spans="2:15">
      <c r="B25" s="57"/>
      <c r="C25" s="69" t="s">
        <v>100</v>
      </c>
      <c r="D25" s="58">
        <f>[1]виробництво!H43+[1]постачання!J23+[1]транспортування!I45</f>
        <v>254.31100000000001</v>
      </c>
      <c r="E25" s="58">
        <f>D25/D58*1000</f>
        <v>12.404204467856795</v>
      </c>
      <c r="F25" s="58">
        <f>D25*G12</f>
        <v>212.47684050000001</v>
      </c>
      <c r="G25" s="58">
        <f>F25/F58*1000</f>
        <v>12.443738828696926</v>
      </c>
      <c r="H25" s="58">
        <f>D25*I12</f>
        <v>34.713451500000005</v>
      </c>
      <c r="I25" s="58">
        <f>H25/H58*1000</f>
        <v>12.167350683491064</v>
      </c>
      <c r="J25" s="58">
        <f>D25*K12</f>
        <v>7.1207080000000005</v>
      </c>
      <c r="K25" s="58">
        <f>J25/J58*1000</f>
        <v>12.405414634146343</v>
      </c>
      <c r="L25" s="13"/>
      <c r="M25" s="13"/>
    </row>
    <row r="26" spans="2:15" ht="26.25">
      <c r="B26" s="52" t="s">
        <v>101</v>
      </c>
      <c r="C26" s="66" t="s">
        <v>102</v>
      </c>
      <c r="D26" s="53">
        <f>[1]виробництво!H45+[1]постачання!J24+[1]транспортування!I46</f>
        <v>8412.7820667999986</v>
      </c>
      <c r="E26" s="53">
        <f>D26/D58*1000</f>
        <v>410.33957988488925</v>
      </c>
      <c r="F26" s="53">
        <f>D26*G12</f>
        <v>7028.8794168113991</v>
      </c>
      <c r="G26" s="53">
        <f>F26/F58*1000</f>
        <v>411.64740361999407</v>
      </c>
      <c r="H26" s="53">
        <f>D26*I12</f>
        <v>1148.3447521181999</v>
      </c>
      <c r="I26" s="53">
        <f>H26/H58*1000</f>
        <v>402.50429446834909</v>
      </c>
      <c r="J26" s="53">
        <f>D26*K12</f>
        <v>235.55789787039996</v>
      </c>
      <c r="K26" s="53">
        <f>J26/J58*1000</f>
        <v>410.37961301463406</v>
      </c>
      <c r="L26" s="13"/>
      <c r="M26" s="13"/>
      <c r="O26" s="13"/>
    </row>
    <row r="27" spans="2:15">
      <c r="B27" s="52" t="s">
        <v>103</v>
      </c>
      <c r="C27" s="66" t="s">
        <v>104</v>
      </c>
      <c r="D27" s="53">
        <f>D28+D29+D30</f>
        <v>2163.363354696</v>
      </c>
      <c r="E27" s="53">
        <f t="shared" ref="E27:K27" si="2">E28+E29+E30</f>
        <v>105.51962514369329</v>
      </c>
      <c r="F27" s="53">
        <f>F28+F29+F30</f>
        <v>1807.4900828485081</v>
      </c>
      <c r="G27" s="53">
        <f t="shared" si="2"/>
        <v>105.85593457385112</v>
      </c>
      <c r="H27" s="53">
        <f>H28+H29+H30</f>
        <v>295.29909791600403</v>
      </c>
      <c r="I27" s="53">
        <f t="shared" si="2"/>
        <v>103.50476618156469</v>
      </c>
      <c r="J27" s="53">
        <f t="shared" si="2"/>
        <v>60.574173931487998</v>
      </c>
      <c r="K27" s="53">
        <f t="shared" si="2"/>
        <v>105.5299197412683</v>
      </c>
      <c r="L27" s="13"/>
      <c r="M27" s="13"/>
    </row>
    <row r="28" spans="2:15" ht="26.25">
      <c r="B28" s="52" t="s">
        <v>105</v>
      </c>
      <c r="C28" s="67" t="s">
        <v>106</v>
      </c>
      <c r="D28" s="53">
        <f>[1]виробництво!H49+[1]постачання!J26+[1]транспортування!I48</f>
        <v>1850.8120546959999</v>
      </c>
      <c r="E28" s="53">
        <f>D28/D58*1000</f>
        <v>90.274707574675631</v>
      </c>
      <c r="F28" s="53">
        <f>D28*G12</f>
        <v>1546.353471698508</v>
      </c>
      <c r="G28" s="53">
        <f>F28/F58*1000</f>
        <v>90.562428796398706</v>
      </c>
      <c r="H28" s="53">
        <f>D28*I12</f>
        <v>252.63584546600401</v>
      </c>
      <c r="I28" s="53">
        <f>H28/H58*1000</f>
        <v>88.550944783036812</v>
      </c>
      <c r="J28" s="53">
        <f>D28*K12</f>
        <v>51.822737531487995</v>
      </c>
      <c r="K28" s="53">
        <f>J28/J58*1000</f>
        <v>90.283514863219509</v>
      </c>
      <c r="L28" s="13"/>
      <c r="M28" s="13"/>
      <c r="O28" s="13"/>
    </row>
    <row r="29" spans="2:15" ht="26.25">
      <c r="B29" s="52" t="s">
        <v>107</v>
      </c>
      <c r="C29" s="67" t="s">
        <v>108</v>
      </c>
      <c r="D29" s="53">
        <f>[1]виробництво!H51+[1]постачання!J27+[1]транспортування!I49</f>
        <v>192.07116000000002</v>
      </c>
      <c r="E29" s="53">
        <f>D29/D58*1000</f>
        <v>9.3684108867427582</v>
      </c>
      <c r="F29" s="53">
        <f>D29*G12</f>
        <v>160.47545418000001</v>
      </c>
      <c r="G29" s="53">
        <f>F29/F58*1000</f>
        <v>9.3982696445095169</v>
      </c>
      <c r="H29" s="53">
        <f>D29*I12</f>
        <v>26.217713340000003</v>
      </c>
      <c r="I29" s="53">
        <f>H29/H58*1000</f>
        <v>9.1895244794952688</v>
      </c>
      <c r="J29" s="53">
        <f>D29*K12</f>
        <v>5.3779924800000005</v>
      </c>
      <c r="K29" s="53">
        <f>J29/J58*1000</f>
        <v>9.369324878048781</v>
      </c>
      <c r="L29" s="13"/>
      <c r="M29" s="13"/>
      <c r="O29" s="13"/>
    </row>
    <row r="30" spans="2:15">
      <c r="B30" s="52" t="s">
        <v>109</v>
      </c>
      <c r="C30" s="67" t="s">
        <v>110</v>
      </c>
      <c r="D30" s="53">
        <f>[1]виробництво!H53+[1]постачання!J28+[1]транспортування!I50</f>
        <v>120.48014000000001</v>
      </c>
      <c r="E30" s="53">
        <f>D30/D58*1000</f>
        <v>5.8765066822748997</v>
      </c>
      <c r="F30" s="53">
        <f>D30*G12</f>
        <v>100.66115697000001</v>
      </c>
      <c r="G30" s="53">
        <f>F30/F58*1000</f>
        <v>5.8952361329428999</v>
      </c>
      <c r="H30" s="53">
        <f>D30*I12</f>
        <v>16.445539110000002</v>
      </c>
      <c r="I30" s="53">
        <f>H30/H58*1000</f>
        <v>5.7642969190325974</v>
      </c>
      <c r="J30" s="53">
        <f>D30*K12</f>
        <v>3.3734439200000002</v>
      </c>
      <c r="K30" s="53">
        <f>J30/J58*1000</f>
        <v>5.8770800000000003</v>
      </c>
      <c r="L30" s="13"/>
      <c r="M30" s="13"/>
    </row>
    <row r="31" spans="2:15" ht="26.25">
      <c r="B31" s="60" t="s">
        <v>111</v>
      </c>
      <c r="C31" s="66" t="s">
        <v>112</v>
      </c>
      <c r="D31" s="51">
        <v>4395.55</v>
      </c>
      <c r="E31" s="51">
        <f t="shared" ref="E31:K31" si="3">E32+E33+E34</f>
        <v>214.39566871524727</v>
      </c>
      <c r="F31" s="51">
        <f t="shared" si="3"/>
        <v>3672.4736699999999</v>
      </c>
      <c r="G31" s="51">
        <f t="shared" si="3"/>
        <v>215.0789850658858</v>
      </c>
      <c r="H31" s="51">
        <f t="shared" si="3"/>
        <v>599.99121000000002</v>
      </c>
      <c r="I31" s="51">
        <f t="shared" si="3"/>
        <v>210.30186119873818</v>
      </c>
      <c r="J31" s="51">
        <f t="shared" si="3"/>
        <v>123.07512</v>
      </c>
      <c r="K31" s="51">
        <f t="shared" si="3"/>
        <v>214.41658536585368</v>
      </c>
      <c r="L31" s="13"/>
      <c r="M31" s="13"/>
      <c r="N31" s="13"/>
    </row>
    <row r="32" spans="2:15">
      <c r="B32" s="52" t="s">
        <v>113</v>
      </c>
      <c r="C32" s="67" t="s">
        <v>114</v>
      </c>
      <c r="D32" s="53">
        <f>[1]виробництво!H57+[1]постачання!J30+[1]транспортування!I52</f>
        <v>3297.885978449418</v>
      </c>
      <c r="E32" s="53">
        <f>D32/D58*1000</f>
        <v>160.8567934079318</v>
      </c>
      <c r="F32" s="53">
        <f>D32*G12</f>
        <v>2755.3837349944888</v>
      </c>
      <c r="G32" s="53">
        <f>F32/F58*1000</f>
        <v>161.36947203481634</v>
      </c>
      <c r="H32" s="53">
        <f>D32*I12</f>
        <v>450.1614360583456</v>
      </c>
      <c r="I32" s="53">
        <f>H32/H58*1000</f>
        <v>157.78529129279551</v>
      </c>
      <c r="J32" s="53">
        <f>D32*K12</f>
        <v>92.340807396583699</v>
      </c>
      <c r="K32" s="53">
        <f>J32/J58*1000</f>
        <v>160.87248675363014</v>
      </c>
      <c r="L32" s="13"/>
      <c r="M32" s="13"/>
      <c r="O32" s="13"/>
    </row>
    <row r="33" spans="2:15" ht="26.25">
      <c r="B33" s="52" t="s">
        <v>115</v>
      </c>
      <c r="C33" s="67" t="s">
        <v>116</v>
      </c>
      <c r="D33" s="53">
        <f>[1]виробництво!H59+[1]постачання!J31+[1]транспортування!I53</f>
        <v>725.53491537315597</v>
      </c>
      <c r="E33" s="53">
        <f>D33/D58*1000</f>
        <v>35.388494555319284</v>
      </c>
      <c r="F33" s="53">
        <f>D33*G12</f>
        <v>606.18442179427177</v>
      </c>
      <c r="G33" s="53">
        <f>F33/F58*1000</f>
        <v>35.501283853251643</v>
      </c>
      <c r="H33" s="53">
        <f>D33*I12</f>
        <v>99.035515948435801</v>
      </c>
      <c r="I33" s="53">
        <f>H33/H58*1000</f>
        <v>34.71276408988286</v>
      </c>
      <c r="J33" s="53">
        <f>D33*K12</f>
        <v>20.314977630448368</v>
      </c>
      <c r="K33" s="53">
        <f>J33/J58*1000</f>
        <v>35.391947091373467</v>
      </c>
      <c r="L33" s="13"/>
      <c r="M33" s="13"/>
      <c r="O33" s="13"/>
    </row>
    <row r="34" spans="2:15">
      <c r="B34" s="52" t="s">
        <v>117</v>
      </c>
      <c r="C34" s="67" t="s">
        <v>118</v>
      </c>
      <c r="D34" s="53">
        <f>[1]виробництво!H60+[1]постачання!J32+[1]транспортування!I54</f>
        <v>372.11910617742592</v>
      </c>
      <c r="E34" s="53">
        <f>D34/D58*1000</f>
        <v>18.150380751996192</v>
      </c>
      <c r="F34" s="53">
        <f>D34*G12</f>
        <v>310.90551321123934</v>
      </c>
      <c r="G34" s="53">
        <f>F34/F58*1000</f>
        <v>18.208229177817824</v>
      </c>
      <c r="H34" s="53">
        <f>D34*I12</f>
        <v>50.794257993218643</v>
      </c>
      <c r="I34" s="53">
        <f>H34/H58*1000</f>
        <v>17.803805816059814</v>
      </c>
      <c r="J34" s="53">
        <f>D34*K12</f>
        <v>10.419334972967926</v>
      </c>
      <c r="K34" s="53">
        <f>J34/J58*1000</f>
        <v>18.152151520850044</v>
      </c>
      <c r="L34" s="13"/>
      <c r="M34" s="13"/>
      <c r="O34" s="13"/>
    </row>
    <row r="35" spans="2:15" ht="26.25">
      <c r="B35" s="52" t="s">
        <v>119</v>
      </c>
      <c r="C35" s="66" t="s">
        <v>120</v>
      </c>
      <c r="D35" s="51">
        <f>1624.59</f>
        <v>1624.59</v>
      </c>
      <c r="E35" s="51">
        <f t="shared" ref="E35:K35" si="4">E36+E37+E38</f>
        <v>79.240561896400351</v>
      </c>
      <c r="F35" s="51">
        <f t="shared" si="4"/>
        <v>1357.3449449999998</v>
      </c>
      <c r="G35" s="51">
        <f t="shared" si="4"/>
        <v>79.49311537335285</v>
      </c>
      <c r="H35" s="51">
        <f t="shared" si="4"/>
        <v>221.75653499999999</v>
      </c>
      <c r="I35" s="51">
        <f t="shared" si="4"/>
        <v>77.727492113564665</v>
      </c>
      <c r="J35" s="51">
        <f t="shared" si="4"/>
        <v>45.488520000000001</v>
      </c>
      <c r="K35" s="51">
        <f t="shared" si="4"/>
        <v>79.248292682926817</v>
      </c>
      <c r="L35" s="13"/>
      <c r="M35" s="13"/>
    </row>
    <row r="36" spans="2:15">
      <c r="B36" s="52" t="s">
        <v>121</v>
      </c>
      <c r="C36" s="67" t="s">
        <v>114</v>
      </c>
      <c r="D36" s="53">
        <f>D35*0.6738047004</f>
        <v>1094.6563782228359</v>
      </c>
      <c r="E36" s="53">
        <f>D36/D58*1000</f>
        <v>53.392663068131689</v>
      </c>
      <c r="F36" s="53">
        <f>D36*G12</f>
        <v>914.58540400517938</v>
      </c>
      <c r="G36" s="53">
        <f>F36/F58*1000</f>
        <v>53.56283478800465</v>
      </c>
      <c r="H36" s="53">
        <f>D36*I12</f>
        <v>149.4205956274171</v>
      </c>
      <c r="I36" s="53">
        <f>H36/H58*1000</f>
        <v>52.373149536423803</v>
      </c>
      <c r="J36" s="53">
        <f>D36*K12</f>
        <v>30.650378590239406</v>
      </c>
      <c r="K36" s="53">
        <f>J36/J58*1000</f>
        <v>53.397872108431017</v>
      </c>
      <c r="L36" s="13"/>
      <c r="M36" s="13"/>
      <c r="O36" s="13"/>
    </row>
    <row r="37" spans="2:15" ht="26.25">
      <c r="B37" s="52" t="s">
        <v>122</v>
      </c>
      <c r="C37" s="67" t="s">
        <v>116</v>
      </c>
      <c r="D37" s="53">
        <f>D35*0.1482</f>
        <v>240.76423799999998</v>
      </c>
      <c r="E37" s="53">
        <f>D37/D58*1000</f>
        <v>11.743451273046531</v>
      </c>
      <c r="F37" s="53">
        <f>D37*G12</f>
        <v>201.15852084899998</v>
      </c>
      <c r="G37" s="53">
        <f>F37/F58*1000</f>
        <v>11.780879698330892</v>
      </c>
      <c r="H37" s="53">
        <f>D37*I12</f>
        <v>32.864318486999998</v>
      </c>
      <c r="I37" s="53">
        <f>H37/H58*1000</f>
        <v>11.519214331230282</v>
      </c>
      <c r="J37" s="53">
        <f>D37*K12</f>
        <v>6.7413986639999992</v>
      </c>
      <c r="K37" s="53">
        <f>J37/J58*1000</f>
        <v>11.744596975609754</v>
      </c>
      <c r="L37" s="13"/>
      <c r="M37" s="13"/>
    </row>
    <row r="38" spans="2:15">
      <c r="B38" s="52" t="s">
        <v>123</v>
      </c>
      <c r="C38" s="67" t="s">
        <v>118</v>
      </c>
      <c r="D38" s="53">
        <f>D35-D36-D37</f>
        <v>289.16938377716406</v>
      </c>
      <c r="E38" s="53">
        <f>D38/D58*1000</f>
        <v>14.104447555222128</v>
      </c>
      <c r="F38" s="53">
        <f>D38*G12</f>
        <v>241.60102014582057</v>
      </c>
      <c r="G38" s="53">
        <f>F38/F58*1000</f>
        <v>14.149400887017309</v>
      </c>
      <c r="H38" s="53">
        <f>D38*I12</f>
        <v>39.471620885582894</v>
      </c>
      <c r="I38" s="53">
        <f>H38/H58*1000</f>
        <v>13.835128245910584</v>
      </c>
      <c r="J38" s="53">
        <f>D38*K12</f>
        <v>8.0967427457605936</v>
      </c>
      <c r="K38" s="53">
        <f>J38/J58*1000</f>
        <v>14.105823598886051</v>
      </c>
      <c r="L38" s="13"/>
      <c r="M38" s="13"/>
    </row>
    <row r="39" spans="2:15">
      <c r="B39" s="52" t="s">
        <v>124</v>
      </c>
      <c r="C39" s="66" t="s">
        <v>125</v>
      </c>
      <c r="D39" s="51">
        <f>D40+D41+D42</f>
        <v>1225.1099999999999</v>
      </c>
      <c r="E39" s="51">
        <f t="shared" ref="E39:K39" si="5">E40+E41+E42</f>
        <v>59.755633596722262</v>
      </c>
      <c r="F39" s="51">
        <f t="shared" si="5"/>
        <v>1023.579405</v>
      </c>
      <c r="G39" s="51">
        <f t="shared" si="5"/>
        <v>59.916085212298682</v>
      </c>
      <c r="H39" s="51">
        <f t="shared" si="5"/>
        <v>167.22751499999998</v>
      </c>
      <c r="I39" s="51">
        <f t="shared" si="5"/>
        <v>58.614621451104099</v>
      </c>
      <c r="J39" s="51">
        <f t="shared" si="5"/>
        <v>34.303079999999994</v>
      </c>
      <c r="K39" s="51">
        <f t="shared" si="5"/>
        <v>59.76146341463415</v>
      </c>
      <c r="L39" s="13"/>
      <c r="M39" s="13"/>
    </row>
    <row r="40" spans="2:15">
      <c r="B40" s="52" t="s">
        <v>126</v>
      </c>
      <c r="C40" s="67" t="s">
        <v>114</v>
      </c>
      <c r="D40" s="53">
        <f>[1]постачання!J38</f>
        <v>687.08917154844596</v>
      </c>
      <c r="E40" s="53">
        <f>D40/D58*1000</f>
        <v>33.513275365742167</v>
      </c>
      <c r="F40" s="53">
        <f>D40*G12</f>
        <v>574.06300282872667</v>
      </c>
      <c r="G40" s="53">
        <f>F40/F58*1000</f>
        <v>33.62008801339541</v>
      </c>
      <c r="H40" s="53">
        <f>D40*I12</f>
        <v>93.787671916362882</v>
      </c>
      <c r="I40" s="53">
        <f>H40/H58*1000</f>
        <v>32.873351530446158</v>
      </c>
      <c r="J40" s="53">
        <f>D40*K12</f>
        <v>19.238496803356487</v>
      </c>
      <c r="K40" s="53">
        <f>J40/J58*1000</f>
        <v>33.516544953582731</v>
      </c>
      <c r="L40" s="13"/>
      <c r="M40" s="13"/>
    </row>
    <row r="41" spans="2:15" ht="26.25">
      <c r="B41" s="52" t="s">
        <v>127</v>
      </c>
      <c r="C41" s="67" t="s">
        <v>116</v>
      </c>
      <c r="D41" s="53">
        <f>[1]постачання!J39</f>
        <v>151.17857399999997</v>
      </c>
      <c r="E41" s="53">
        <f>D41/D58*1000</f>
        <v>7.3738451858355267</v>
      </c>
      <c r="F41" s="53">
        <f>D41*G12</f>
        <v>126.30969857699998</v>
      </c>
      <c r="G41" s="53">
        <f>F41/F58*1000</f>
        <v>7.3973469151976561</v>
      </c>
      <c r="H41" s="53">
        <f>D41*I12</f>
        <v>20.635875350999996</v>
      </c>
      <c r="I41" s="53">
        <f>H41/H58*1000</f>
        <v>7.2330442870662441</v>
      </c>
      <c r="J41" s="53">
        <f>D41*K12</f>
        <v>4.2330000719999994</v>
      </c>
      <c r="K41" s="53">
        <f>J41/J58*1000</f>
        <v>7.3745645853658521</v>
      </c>
      <c r="L41" s="13"/>
      <c r="M41" s="13"/>
    </row>
    <row r="42" spans="2:15">
      <c r="B42" s="52" t="s">
        <v>128</v>
      </c>
      <c r="C42" s="67" t="s">
        <v>118</v>
      </c>
      <c r="D42" s="53">
        <f>[1]постачання!J40</f>
        <v>386.84225445155397</v>
      </c>
      <c r="E42" s="53">
        <f>D42/D58*1000</f>
        <v>18.868513045144567</v>
      </c>
      <c r="F42" s="53">
        <f>D42*G12</f>
        <v>323.20670359427334</v>
      </c>
      <c r="G42" s="53">
        <f>F42/F58*1000-0.03</f>
        <v>18.89865028370561</v>
      </c>
      <c r="H42" s="53">
        <f>D42*I12</f>
        <v>52.803967732637119</v>
      </c>
      <c r="I42" s="53">
        <f>H42/H58*1000</f>
        <v>18.508225633591699</v>
      </c>
      <c r="J42" s="53">
        <f>D42*K12</f>
        <v>10.831583124643512</v>
      </c>
      <c r="K42" s="53">
        <f>J42/J58*1000</f>
        <v>18.870353875685563</v>
      </c>
      <c r="L42" s="13"/>
      <c r="M42" s="13"/>
      <c r="O42" s="13"/>
    </row>
    <row r="43" spans="2:15">
      <c r="B43" s="52" t="s">
        <v>129</v>
      </c>
      <c r="C43" s="66" t="s">
        <v>130</v>
      </c>
      <c r="D43" s="51">
        <v>0</v>
      </c>
      <c r="E43" s="51">
        <f>D43/D58*1000</f>
        <v>0</v>
      </c>
      <c r="F43" s="51">
        <f>D43*G12</f>
        <v>0</v>
      </c>
      <c r="G43" s="51">
        <v>0</v>
      </c>
      <c r="H43" s="51">
        <f>D43*I12</f>
        <v>0</v>
      </c>
      <c r="I43" s="51">
        <f>H43/H58*1000</f>
        <v>0</v>
      </c>
      <c r="J43" s="51">
        <f>D43*K12</f>
        <v>0</v>
      </c>
      <c r="K43" s="51">
        <f>J43/J58*1000</f>
        <v>0</v>
      </c>
      <c r="L43" s="13"/>
      <c r="M43" s="13"/>
    </row>
    <row r="44" spans="2:15">
      <c r="B44" s="52" t="s">
        <v>131</v>
      </c>
      <c r="C44" s="66" t="s">
        <v>132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13"/>
    </row>
    <row r="45" spans="2:15">
      <c r="B45" s="52" t="s">
        <v>133</v>
      </c>
      <c r="C45" s="66" t="s">
        <v>134</v>
      </c>
      <c r="D45" s="51">
        <f>F45+H45+J45</f>
        <v>48638.029788911888</v>
      </c>
      <c r="E45" s="51">
        <f>D45/D58*1000</f>
        <v>2372.3553696669537</v>
      </c>
      <c r="F45" s="51">
        <v>39593.46</v>
      </c>
      <c r="G45" s="51">
        <f>G18+G35+G39+G43+G44-1.23</f>
        <v>2318.7967985686623</v>
      </c>
      <c r="H45" s="51">
        <v>7060.43</v>
      </c>
      <c r="I45" s="51">
        <f>I18+I35+I39+I43+I44+7.55</f>
        <v>2474.7370615086593</v>
      </c>
      <c r="J45" s="51">
        <f>J18+J35+J39+J43+J44-0.02</f>
        <v>1984.1397889118882</v>
      </c>
      <c r="K45" s="51">
        <f>K18+K35+K39+K43+K44-0.03</f>
        <v>3456.6943709266347</v>
      </c>
      <c r="L45" s="13"/>
      <c r="M45" s="13"/>
      <c r="N45" s="13"/>
    </row>
    <row r="46" spans="2:15" ht="26.25">
      <c r="B46" s="52" t="s">
        <v>135</v>
      </c>
      <c r="C46" s="66" t="s">
        <v>136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</row>
    <row r="47" spans="2:15" ht="26.25">
      <c r="B47" s="52" t="s">
        <v>137</v>
      </c>
      <c r="C47" s="66" t="s">
        <v>138</v>
      </c>
      <c r="D47" s="51">
        <f>'[1]теплова енергія з прибутком'!G39</f>
        <v>1945.5208273686767</v>
      </c>
      <c r="E47" s="51">
        <f>D47/D58*1000</f>
        <v>94.894197023152699</v>
      </c>
      <c r="F47" s="51">
        <f>1583.74</f>
        <v>1583.74</v>
      </c>
      <c r="G47" s="51">
        <f>F47/F58*1000</f>
        <v>92.751976573938506</v>
      </c>
      <c r="H47" s="51">
        <v>282.42</v>
      </c>
      <c r="I47" s="51">
        <f>H47/H58*1000</f>
        <v>98.99053627760253</v>
      </c>
      <c r="J47" s="51">
        <v>79.37</v>
      </c>
      <c r="K47" s="51">
        <f>J47/J58*1000-0.01</f>
        <v>138.26526132404183</v>
      </c>
      <c r="L47" s="13"/>
      <c r="M47" s="13"/>
    </row>
    <row r="48" spans="2:15">
      <c r="B48" s="52" t="s">
        <v>139</v>
      </c>
      <c r="C48" s="67" t="s">
        <v>140</v>
      </c>
      <c r="D48" s="53">
        <f>F48+H48+J48</f>
        <v>350.19540000000001</v>
      </c>
      <c r="E48" s="53">
        <f>D48/D58*1000</f>
        <v>17.081035996488147</v>
      </c>
      <c r="F48" s="53">
        <f>F47*0.18</f>
        <v>285.07319999999999</v>
      </c>
      <c r="G48" s="53">
        <f>F48/F58*1000</f>
        <v>16.69535578330893</v>
      </c>
      <c r="H48" s="53">
        <f>H47*0.18</f>
        <v>50.835599999999999</v>
      </c>
      <c r="I48" s="53">
        <f>H48/H58*1000</f>
        <v>17.818296529968457</v>
      </c>
      <c r="J48" s="53">
        <f>J47*0.18</f>
        <v>14.2866</v>
      </c>
      <c r="K48" s="53">
        <f>J48/J58*1000</f>
        <v>24.889547038327528</v>
      </c>
      <c r="L48" s="13"/>
    </row>
    <row r="49" spans="2:15" ht="26.25">
      <c r="B49" s="52" t="s">
        <v>141</v>
      </c>
      <c r="C49" s="67" t="s">
        <v>142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</row>
    <row r="50" spans="2:15" ht="26.25">
      <c r="B50" s="54" t="s">
        <v>64</v>
      </c>
      <c r="C50" s="68" t="s">
        <v>143</v>
      </c>
      <c r="D50" s="59"/>
      <c r="E50" s="59"/>
      <c r="F50" s="59"/>
      <c r="G50" s="59"/>
      <c r="H50" s="59"/>
      <c r="I50" s="59"/>
      <c r="J50" s="59"/>
      <c r="K50" s="59"/>
    </row>
    <row r="51" spans="2:15">
      <c r="B51" s="57"/>
      <c r="C51" s="69" t="s">
        <v>144</v>
      </c>
      <c r="D51" s="58">
        <f>[1]транспортування!I71</f>
        <v>0</v>
      </c>
      <c r="E51" s="58">
        <f>D51/D58*1000</f>
        <v>0</v>
      </c>
      <c r="F51" s="58">
        <f>D51*G12</f>
        <v>0</v>
      </c>
      <c r="G51" s="58">
        <f>F51/F58*1000</f>
        <v>0</v>
      </c>
      <c r="H51" s="58">
        <f>D51*I12</f>
        <v>0</v>
      </c>
      <c r="I51" s="58">
        <f>H51/H58*1000</f>
        <v>0</v>
      </c>
      <c r="J51" s="58">
        <f>D51*K12</f>
        <v>0</v>
      </c>
      <c r="K51" s="58">
        <f>J51/J58*1000</f>
        <v>0</v>
      </c>
    </row>
    <row r="52" spans="2:15" ht="26.25">
      <c r="B52" s="52" t="s">
        <v>66</v>
      </c>
      <c r="C52" s="67" t="s">
        <v>145</v>
      </c>
      <c r="D52" s="53">
        <f>D47-D48-D51</f>
        <v>1595.3254273686766</v>
      </c>
      <c r="E52" s="53">
        <f>E47-E48</f>
        <v>77.813161026664545</v>
      </c>
      <c r="F52" s="53">
        <f t="shared" ref="F52:K52" si="6">F47-F48</f>
        <v>1298.6668</v>
      </c>
      <c r="G52" s="53">
        <f t="shared" si="6"/>
        <v>76.05662079062958</v>
      </c>
      <c r="H52" s="53">
        <f t="shared" si="6"/>
        <v>231.58440000000002</v>
      </c>
      <c r="I52" s="53">
        <f t="shared" si="6"/>
        <v>81.17223974763408</v>
      </c>
      <c r="J52" s="53">
        <f t="shared" si="6"/>
        <v>65.083400000000012</v>
      </c>
      <c r="K52" s="53">
        <f t="shared" si="6"/>
        <v>113.37571428571431</v>
      </c>
    </row>
    <row r="53" spans="2:15" ht="26.25">
      <c r="B53" s="54" t="s">
        <v>146</v>
      </c>
      <c r="C53" s="70" t="s">
        <v>147</v>
      </c>
      <c r="D53" s="59"/>
      <c r="E53" s="59"/>
      <c r="F53" s="59"/>
      <c r="G53" s="59"/>
      <c r="H53" s="59"/>
      <c r="I53" s="59"/>
      <c r="J53" s="59"/>
      <c r="K53" s="59"/>
    </row>
    <row r="54" spans="2:15">
      <c r="B54" s="57"/>
      <c r="C54" s="71" t="s">
        <v>148</v>
      </c>
      <c r="D54" s="62">
        <f>D45+D47</f>
        <v>50583.550616280569</v>
      </c>
      <c r="E54" s="62">
        <f>D54/D58*1000</f>
        <v>2467.2495666901068</v>
      </c>
      <c r="F54" s="62">
        <f>F45+F47</f>
        <v>41177.199999999997</v>
      </c>
      <c r="G54" s="62">
        <f>G45+G47</f>
        <v>2411.5487751426008</v>
      </c>
      <c r="H54" s="62">
        <f t="shared" ref="H54:J54" si="7">H45+H47</f>
        <v>7342.85</v>
      </c>
      <c r="I54" s="62">
        <f t="shared" si="7"/>
        <v>2573.7275977862619</v>
      </c>
      <c r="J54" s="62">
        <f t="shared" si="7"/>
        <v>2063.5097889118883</v>
      </c>
      <c r="K54" s="62">
        <f>K45+K47-0.01</f>
        <v>3594.9496322506766</v>
      </c>
      <c r="M54" s="38"/>
    </row>
    <row r="55" spans="2:15" ht="26.25">
      <c r="B55" s="52" t="s">
        <v>149</v>
      </c>
      <c r="C55" s="66" t="s">
        <v>150</v>
      </c>
      <c r="D55" s="51">
        <f>D54/D58*1000</f>
        <v>2467.2495666901068</v>
      </c>
      <c r="E55" s="51"/>
      <c r="F55" s="51">
        <f>F54/F58*1000</f>
        <v>2411.5490483162516</v>
      </c>
      <c r="G55" s="51"/>
      <c r="H55" s="51">
        <f>H54/H58*1000</f>
        <v>2573.7294076410799</v>
      </c>
      <c r="I55" s="51"/>
      <c r="J55" s="51">
        <f>J54/J58*1000-0.04</f>
        <v>3594.924789045102</v>
      </c>
      <c r="K55" s="51"/>
      <c r="O55" s="13"/>
    </row>
    <row r="56" spans="2:15">
      <c r="B56" s="52" t="s">
        <v>151</v>
      </c>
      <c r="C56" s="66" t="s">
        <v>152</v>
      </c>
      <c r="D56" s="51">
        <f>D20*100/D45</f>
        <v>48.326027989765414</v>
      </c>
      <c r="E56" s="51"/>
      <c r="F56" s="51">
        <f>F20*100/F45</f>
        <v>47.018359788207448</v>
      </c>
      <c r="G56" s="51"/>
      <c r="H56" s="51">
        <f>H20*100/H54</f>
        <v>49.138987245415606</v>
      </c>
      <c r="I56" s="51"/>
      <c r="J56" s="51">
        <f>J20*100/J45</f>
        <v>64.533270098484053</v>
      </c>
      <c r="K56" s="51"/>
      <c r="O56" s="13"/>
    </row>
    <row r="57" spans="2:15" ht="26.25">
      <c r="B57" s="52" t="s">
        <v>153</v>
      </c>
      <c r="C57" s="66" t="s">
        <v>154</v>
      </c>
      <c r="D57" s="51">
        <f>100-D56</f>
        <v>51.673972010234586</v>
      </c>
      <c r="E57" s="51"/>
      <c r="F57" s="51">
        <f>100-F56</f>
        <v>52.981640211792552</v>
      </c>
      <c r="G57" s="51"/>
      <c r="H57" s="51">
        <f>100-H56</f>
        <v>50.861012754584394</v>
      </c>
      <c r="I57" s="51"/>
      <c r="J57" s="51">
        <f>100-J56</f>
        <v>35.466729901515947</v>
      </c>
      <c r="K57" s="51"/>
      <c r="O57" s="13"/>
    </row>
    <row r="58" spans="2:15" ht="26.25">
      <c r="B58" s="52" t="s">
        <v>155</v>
      </c>
      <c r="C58" s="66" t="s">
        <v>156</v>
      </c>
      <c r="D58" s="61">
        <v>20502</v>
      </c>
      <c r="E58" s="61"/>
      <c r="F58" s="61">
        <v>17075</v>
      </c>
      <c r="G58" s="61"/>
      <c r="H58" s="61">
        <v>2853</v>
      </c>
      <c r="I58" s="61"/>
      <c r="J58" s="61">
        <v>574</v>
      </c>
      <c r="K58" s="61"/>
    </row>
    <row r="59" spans="2:15">
      <c r="B59" s="52" t="s">
        <v>157</v>
      </c>
      <c r="C59" s="66" t="s">
        <v>158</v>
      </c>
      <c r="D59" s="51">
        <f t="shared" ref="D59:I59" si="8">D54/D45*100-100</f>
        <v>3.9999992512283171</v>
      </c>
      <c r="E59" s="51">
        <f t="shared" si="8"/>
        <v>3.9999992512283171</v>
      </c>
      <c r="F59" s="51">
        <f t="shared" si="8"/>
        <v>4.0000040410714206</v>
      </c>
      <c r="G59" s="61">
        <v>0</v>
      </c>
      <c r="H59" s="63">
        <f t="shared" si="8"/>
        <v>4.0000396576412385</v>
      </c>
      <c r="I59" s="63">
        <f t="shared" si="8"/>
        <v>4.0000425829989297</v>
      </c>
      <c r="J59" s="61">
        <v>0</v>
      </c>
      <c r="K59" s="61">
        <v>0</v>
      </c>
    </row>
    <row r="60" spans="2:15">
      <c r="B60" s="64"/>
      <c r="C60" s="22"/>
      <c r="D60" s="22"/>
      <c r="E60" s="22"/>
      <c r="F60" s="22"/>
      <c r="G60" s="22"/>
      <c r="H60" s="22"/>
      <c r="I60" s="22"/>
      <c r="J60" s="22"/>
      <c r="K60" s="22"/>
    </row>
    <row r="61" spans="2:15">
      <c r="B61" s="64"/>
      <c r="C61" s="22"/>
      <c r="D61" s="65"/>
      <c r="E61" s="22"/>
      <c r="F61" s="22"/>
      <c r="G61" s="22"/>
      <c r="H61" s="22"/>
      <c r="I61" s="22"/>
      <c r="J61" s="22"/>
      <c r="K61" s="22"/>
    </row>
    <row r="62" spans="2:15">
      <c r="B62" s="64"/>
      <c r="C62" s="22"/>
      <c r="D62" s="22"/>
      <c r="E62" s="22"/>
      <c r="F62" s="22"/>
      <c r="G62" s="22"/>
      <c r="H62" s="22"/>
      <c r="I62" s="22"/>
      <c r="J62" s="22"/>
      <c r="K62" s="22"/>
    </row>
    <row r="63" spans="2:15" ht="15.75">
      <c r="B63" s="73" t="s">
        <v>159</v>
      </c>
      <c r="C63" s="74"/>
      <c r="D63" s="74"/>
      <c r="E63" s="74"/>
      <c r="F63" s="74"/>
      <c r="G63" s="74"/>
      <c r="H63" s="107" t="s">
        <v>160</v>
      </c>
      <c r="I63" s="107"/>
      <c r="J63" s="107"/>
      <c r="K63" s="107"/>
    </row>
    <row r="64" spans="2:15">
      <c r="B64" s="39"/>
      <c r="C64" s="36"/>
      <c r="D64" s="36"/>
      <c r="E64" s="36"/>
      <c r="F64" s="36"/>
      <c r="G64" s="36"/>
      <c r="H64" s="36"/>
      <c r="I64" s="36"/>
      <c r="J64" s="36"/>
      <c r="K64" s="36"/>
      <c r="M64" s="41"/>
      <c r="N64" s="41"/>
      <c r="O64" s="41"/>
    </row>
    <row r="65" spans="2:11">
      <c r="B65" s="39"/>
      <c r="C65" s="36"/>
      <c r="D65" s="36"/>
      <c r="E65" s="36"/>
      <c r="F65" s="36"/>
      <c r="G65" s="36"/>
      <c r="H65" s="36"/>
      <c r="I65" s="36"/>
      <c r="J65" s="36"/>
      <c r="K65" s="36"/>
    </row>
    <row r="66" spans="2:11">
      <c r="B66" s="39"/>
      <c r="C66" s="36"/>
      <c r="D66" s="36"/>
      <c r="E66" s="36"/>
      <c r="F66" s="36"/>
      <c r="G66" s="36"/>
      <c r="H66" s="36"/>
      <c r="I66" s="36"/>
      <c r="J66" s="36"/>
      <c r="K66" s="36"/>
    </row>
    <row r="67" spans="2:11">
      <c r="B67" s="39"/>
      <c r="C67" s="36"/>
      <c r="D67" s="36"/>
      <c r="E67" s="36"/>
      <c r="F67" s="36"/>
      <c r="G67" s="36"/>
      <c r="H67" s="36"/>
      <c r="I67" s="36"/>
      <c r="J67" s="36"/>
      <c r="K67" s="36"/>
    </row>
    <row r="68" spans="2:11">
      <c r="B68" s="39"/>
      <c r="C68" s="36"/>
      <c r="D68" s="40"/>
      <c r="E68" s="36"/>
      <c r="F68" s="36"/>
      <c r="G68" s="36"/>
      <c r="H68" s="36"/>
      <c r="I68" s="36"/>
      <c r="J68" s="36"/>
      <c r="K68" s="36"/>
    </row>
    <row r="69" spans="2:11">
      <c r="B69" s="39"/>
      <c r="C69" s="36"/>
      <c r="D69" s="36"/>
      <c r="E69" s="36"/>
      <c r="F69" s="36"/>
      <c r="G69" s="36"/>
      <c r="H69" s="36"/>
      <c r="I69" s="36"/>
      <c r="J69" s="36"/>
      <c r="K69" s="36"/>
    </row>
    <row r="70" spans="2:11">
      <c r="B70" s="39"/>
      <c r="C70" s="36"/>
      <c r="D70" s="36"/>
      <c r="E70" s="36"/>
      <c r="F70" s="36"/>
      <c r="G70" s="36"/>
      <c r="H70" s="36"/>
      <c r="I70" s="36"/>
      <c r="J70" s="36"/>
      <c r="K70" s="36"/>
    </row>
    <row r="71" spans="2:11">
      <c r="B71" s="39"/>
      <c r="C71" s="36"/>
      <c r="D71" s="36"/>
      <c r="E71" s="36"/>
      <c r="F71" s="36"/>
      <c r="G71" s="36"/>
      <c r="H71" s="36"/>
      <c r="I71" s="36"/>
      <c r="J71" s="36"/>
      <c r="K71" s="36"/>
    </row>
    <row r="72" spans="2:11">
      <c r="B72" s="39"/>
    </row>
    <row r="73" spans="2:11">
      <c r="B73" s="39"/>
    </row>
    <row r="74" spans="2:11">
      <c r="B74" s="39"/>
    </row>
    <row r="75" spans="2:11">
      <c r="B75" s="39"/>
    </row>
    <row r="76" spans="2:11">
      <c r="B76" s="39"/>
    </row>
    <row r="77" spans="2:11">
      <c r="B77" s="39"/>
    </row>
    <row r="78" spans="2:11">
      <c r="B78" s="39"/>
    </row>
    <row r="79" spans="2:11">
      <c r="B79" s="39"/>
    </row>
    <row r="80" spans="2:11">
      <c r="B80" s="39"/>
    </row>
    <row r="81" spans="2:2">
      <c r="B81" s="39"/>
    </row>
    <row r="82" spans="2:2">
      <c r="B82" s="39"/>
    </row>
    <row r="83" spans="2:2">
      <c r="B83" s="39"/>
    </row>
    <row r="84" spans="2:2">
      <c r="B84" s="39"/>
    </row>
    <row r="85" spans="2:2">
      <c r="B85" s="39"/>
    </row>
    <row r="86" spans="2:2">
      <c r="B86" s="39"/>
    </row>
    <row r="87" spans="2:2">
      <c r="B87" s="39"/>
    </row>
    <row r="88" spans="2:2">
      <c r="B88" s="39"/>
    </row>
    <row r="89" spans="2:2">
      <c r="B89" s="39"/>
    </row>
    <row r="90" spans="2:2">
      <c r="B90" s="39"/>
    </row>
    <row r="91" spans="2:2">
      <c r="B91" s="39"/>
    </row>
    <row r="92" spans="2:2">
      <c r="B92" s="39"/>
    </row>
    <row r="93" spans="2:2">
      <c r="B93" s="39"/>
    </row>
    <row r="94" spans="2:2">
      <c r="B94" s="39"/>
    </row>
    <row r="95" spans="2:2">
      <c r="B95" s="39"/>
    </row>
    <row r="96" spans="2:2">
      <c r="B96" s="39"/>
    </row>
    <row r="97" spans="2:2">
      <c r="B97" s="39"/>
    </row>
    <row r="98" spans="2:2">
      <c r="B98" s="39"/>
    </row>
    <row r="99" spans="2:2">
      <c r="B99" s="39"/>
    </row>
    <row r="100" spans="2:2">
      <c r="B100" s="39"/>
    </row>
    <row r="101" spans="2:2">
      <c r="B101" s="39"/>
    </row>
    <row r="102" spans="2:2">
      <c r="B102" s="39"/>
    </row>
    <row r="103" spans="2:2">
      <c r="B103" s="39"/>
    </row>
    <row r="104" spans="2:2">
      <c r="B104" s="39"/>
    </row>
    <row r="105" spans="2:2">
      <c r="B105" s="39"/>
    </row>
    <row r="106" spans="2:2">
      <c r="B106" s="39"/>
    </row>
    <row r="107" spans="2:2">
      <c r="B107" s="39"/>
    </row>
    <row r="108" spans="2:2">
      <c r="B108" s="39"/>
    </row>
    <row r="109" spans="2:2">
      <c r="B109" s="39"/>
    </row>
  </sheetData>
  <mergeCells count="17">
    <mergeCell ref="B13:B16"/>
    <mergeCell ref="H63:K63"/>
    <mergeCell ref="C10:J10"/>
    <mergeCell ref="C11:J11"/>
    <mergeCell ref="D13:E13"/>
    <mergeCell ref="F13:G13"/>
    <mergeCell ref="H13:I13"/>
    <mergeCell ref="J13:K13"/>
    <mergeCell ref="D14:E14"/>
    <mergeCell ref="F14:G14"/>
    <mergeCell ref="H14:I14"/>
    <mergeCell ref="J14:K14"/>
    <mergeCell ref="G2:J2"/>
    <mergeCell ref="G4:J4"/>
    <mergeCell ref="G5:J5"/>
    <mergeCell ref="C8:J8"/>
    <mergeCell ref="C9:J9"/>
  </mergeCells>
  <pageMargins left="0.11811023622047245" right="0.11811023622047245" top="0" bottom="0.15748031496062992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</vt:lpstr>
      <vt:lpstr>додаток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2023-10-13T08:44:42Z</dcterms:modified>
</cp:coreProperties>
</file>